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tthewLAshmore\Downloads\"/>
    </mc:Choice>
  </mc:AlternateContent>
  <xr:revisionPtr revIDLastSave="0" documentId="13_ncr:1_{44189E8F-BBC6-4D12-9084-5174DD169471}" xr6:coauthVersionLast="47" xr6:coauthVersionMax="47" xr10:uidLastSave="{00000000-0000-0000-0000-000000000000}"/>
  <bookViews>
    <workbookView xWindow="30780" yWindow="120" windowWidth="26820" windowHeight="16080" xr2:uid="{AE206CF4-C53C-42EA-940B-21804FF4CFB1}"/>
  </bookViews>
  <sheets>
    <sheet name="FIV Calcs Liquid" sheetId="3" r:id="rId1"/>
    <sheet name="FIV Calcs Gases" sheetId="5" r:id="rId2"/>
    <sheet name="FIP Calcs" sheetId="4" r:id="rId3"/>
    <sheet name="AIV Calc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5" l="1"/>
  <c r="H50" i="5"/>
  <c r="F50" i="5"/>
  <c r="E50" i="5"/>
  <c r="H49" i="5"/>
  <c r="F49" i="5"/>
  <c r="E49" i="5"/>
  <c r="F42" i="5"/>
  <c r="E42" i="5"/>
  <c r="F41" i="5"/>
  <c r="E41" i="5"/>
  <c r="F40" i="5"/>
  <c r="E40" i="5"/>
  <c r="F39" i="5"/>
  <c r="E39" i="5"/>
  <c r="F38" i="5"/>
  <c r="E38" i="5"/>
  <c r="F37" i="5"/>
  <c r="E37" i="5"/>
  <c r="D32" i="5"/>
  <c r="C33" i="5" s="1"/>
  <c r="E33" i="5" s="1"/>
  <c r="D31" i="5"/>
  <c r="D30" i="5"/>
  <c r="C31" i="5" s="1"/>
  <c r="C23" i="5"/>
  <c r="G42" i="5" l="1"/>
  <c r="G38" i="5"/>
  <c r="G49" i="5"/>
  <c r="G50" i="5"/>
  <c r="G37" i="5"/>
  <c r="G41" i="5"/>
  <c r="G40" i="5"/>
  <c r="G39" i="5"/>
  <c r="E30" i="5"/>
  <c r="H37" i="5" s="1"/>
  <c r="E31" i="5"/>
  <c r="H38" i="5" s="1"/>
  <c r="H42" i="5"/>
  <c r="H41" i="5"/>
  <c r="C32" i="5"/>
  <c r="E32" i="5" s="1"/>
  <c r="C53" i="5" l="1" a="1"/>
  <c r="C53" i="5" s="1"/>
  <c r="H39" i="5"/>
  <c r="H40" i="5"/>
  <c r="C45" i="5" l="1" a="1"/>
  <c r="C45" i="5" s="1"/>
  <c r="C19" i="5" s="1"/>
  <c r="J24" i="4" l="1"/>
  <c r="K24" i="4"/>
  <c r="L24" i="4"/>
  <c r="M24" i="4"/>
  <c r="N24" i="4"/>
  <c r="O24" i="4"/>
  <c r="P24" i="4"/>
  <c r="Q24" i="4"/>
  <c r="R24" i="4"/>
  <c r="J25" i="4"/>
  <c r="K25" i="4"/>
  <c r="L25" i="4"/>
  <c r="M25" i="4"/>
  <c r="N25" i="4"/>
  <c r="O25" i="4"/>
  <c r="P25" i="4"/>
  <c r="Q25" i="4"/>
  <c r="R25" i="4"/>
  <c r="J26" i="4"/>
  <c r="K26" i="4"/>
  <c r="L26" i="4"/>
  <c r="M26" i="4"/>
  <c r="N26" i="4"/>
  <c r="O26" i="4"/>
  <c r="P26" i="4"/>
  <c r="Q26" i="4"/>
  <c r="R26" i="4"/>
  <c r="J27" i="4"/>
  <c r="K27" i="4"/>
  <c r="L27" i="4"/>
  <c r="M27" i="4"/>
  <c r="N27" i="4"/>
  <c r="O27" i="4"/>
  <c r="P27" i="4"/>
  <c r="Q27" i="4"/>
  <c r="R27" i="4"/>
  <c r="J28" i="4"/>
  <c r="K28" i="4"/>
  <c r="L28" i="4"/>
  <c r="M28" i="4"/>
  <c r="N28" i="4"/>
  <c r="O28" i="4"/>
  <c r="P28" i="4"/>
  <c r="Q28" i="4"/>
  <c r="R28" i="4"/>
  <c r="J29" i="4"/>
  <c r="K29" i="4"/>
  <c r="L29" i="4"/>
  <c r="M29" i="4"/>
  <c r="N29" i="4"/>
  <c r="O29" i="4"/>
  <c r="P29" i="4"/>
  <c r="Q29" i="4"/>
  <c r="R29" i="4"/>
  <c r="J30" i="4"/>
  <c r="K30" i="4"/>
  <c r="L30" i="4"/>
  <c r="M30" i="4"/>
  <c r="N30" i="4"/>
  <c r="O30" i="4"/>
  <c r="P30" i="4"/>
  <c r="Q30" i="4"/>
  <c r="R30" i="4"/>
  <c r="J31" i="4"/>
  <c r="K31" i="4"/>
  <c r="L31" i="4"/>
  <c r="M31" i="4"/>
  <c r="N31" i="4"/>
  <c r="O31" i="4"/>
  <c r="P31" i="4"/>
  <c r="Q31" i="4"/>
  <c r="R31" i="4"/>
  <c r="J32" i="4"/>
  <c r="K32" i="4"/>
  <c r="L32" i="4"/>
  <c r="M32" i="4"/>
  <c r="N32" i="4"/>
  <c r="O32" i="4"/>
  <c r="P32" i="4"/>
  <c r="Q32" i="4"/>
  <c r="R32" i="4"/>
  <c r="J33" i="4"/>
  <c r="K33" i="4"/>
  <c r="L33" i="4"/>
  <c r="M33" i="4"/>
  <c r="N33" i="4"/>
  <c r="O33" i="4"/>
  <c r="P33" i="4"/>
  <c r="Q33" i="4"/>
  <c r="R33" i="4"/>
  <c r="J34" i="4"/>
  <c r="K34" i="4"/>
  <c r="L34" i="4"/>
  <c r="M34" i="4"/>
  <c r="N34" i="4"/>
  <c r="O34" i="4"/>
  <c r="P34" i="4"/>
  <c r="Q34" i="4"/>
  <c r="R34" i="4"/>
  <c r="J35" i="4"/>
  <c r="K35" i="4"/>
  <c r="L35" i="4"/>
  <c r="M35" i="4"/>
  <c r="N35" i="4"/>
  <c r="O35" i="4"/>
  <c r="P35" i="4"/>
  <c r="Q35" i="4"/>
  <c r="R35" i="4"/>
  <c r="J36" i="4"/>
  <c r="K36" i="4"/>
  <c r="L36" i="4"/>
  <c r="M36" i="4"/>
  <c r="N36" i="4"/>
  <c r="O36" i="4"/>
  <c r="P36" i="4"/>
  <c r="Q36" i="4"/>
  <c r="R36" i="4"/>
  <c r="J37" i="4"/>
  <c r="K37" i="4"/>
  <c r="L37" i="4"/>
  <c r="M37" i="4"/>
  <c r="N37" i="4"/>
  <c r="O37" i="4"/>
  <c r="P37" i="4"/>
  <c r="Q37" i="4"/>
  <c r="R37" i="4"/>
  <c r="J38" i="4"/>
  <c r="K38" i="4"/>
  <c r="L38" i="4"/>
  <c r="M38" i="4"/>
  <c r="N38" i="4"/>
  <c r="O38" i="4"/>
  <c r="P38" i="4"/>
  <c r="Q38" i="4"/>
  <c r="R38" i="4"/>
  <c r="J39" i="4"/>
  <c r="K39" i="4"/>
  <c r="L39" i="4"/>
  <c r="M39" i="4"/>
  <c r="N39" i="4"/>
  <c r="O39" i="4"/>
  <c r="P39" i="4"/>
  <c r="Q39" i="4"/>
  <c r="R39" i="4"/>
  <c r="J40" i="4"/>
  <c r="K40" i="4"/>
  <c r="L40" i="4"/>
  <c r="M40" i="4"/>
  <c r="N40" i="4"/>
  <c r="O40" i="4"/>
  <c r="P40" i="4"/>
  <c r="Q40" i="4"/>
  <c r="R40" i="4"/>
  <c r="J41" i="4"/>
  <c r="K41" i="4"/>
  <c r="L41" i="4"/>
  <c r="M41" i="4"/>
  <c r="N41" i="4"/>
  <c r="O41" i="4"/>
  <c r="P41" i="4"/>
  <c r="Q41" i="4"/>
  <c r="R41" i="4"/>
  <c r="J42" i="4"/>
  <c r="K42" i="4"/>
  <c r="L42" i="4"/>
  <c r="M42" i="4"/>
  <c r="N42" i="4"/>
  <c r="O42" i="4"/>
  <c r="P42" i="4"/>
  <c r="Q42" i="4"/>
  <c r="R42" i="4"/>
  <c r="J43" i="4"/>
  <c r="K43" i="4"/>
  <c r="L43" i="4"/>
  <c r="M43" i="4"/>
  <c r="N43" i="4"/>
  <c r="O43" i="4"/>
  <c r="P43" i="4"/>
  <c r="Q43" i="4"/>
  <c r="R43" i="4"/>
  <c r="J44" i="4"/>
  <c r="K44" i="4"/>
  <c r="L44" i="4"/>
  <c r="M44" i="4"/>
  <c r="N44" i="4"/>
  <c r="O44" i="4"/>
  <c r="P44" i="4"/>
  <c r="Q44" i="4"/>
  <c r="R44" i="4"/>
  <c r="J45" i="4"/>
  <c r="K45" i="4"/>
  <c r="L45" i="4"/>
  <c r="M45" i="4"/>
  <c r="N45" i="4"/>
  <c r="O45" i="4"/>
  <c r="P45" i="4"/>
  <c r="Q45" i="4"/>
  <c r="R45" i="4"/>
  <c r="J46" i="4"/>
  <c r="K46" i="4"/>
  <c r="L46" i="4"/>
  <c r="M46" i="4"/>
  <c r="N46" i="4"/>
  <c r="O46" i="4"/>
  <c r="P46" i="4"/>
  <c r="Q46" i="4"/>
  <c r="R46" i="4"/>
  <c r="J47" i="4"/>
  <c r="K47" i="4"/>
  <c r="L47" i="4"/>
  <c r="M47" i="4"/>
  <c r="N47" i="4"/>
  <c r="O47" i="4"/>
  <c r="P47" i="4"/>
  <c r="Q47" i="4"/>
  <c r="R47" i="4"/>
  <c r="J48" i="4"/>
  <c r="K48" i="4"/>
  <c r="L48" i="4"/>
  <c r="M48" i="4"/>
  <c r="N48" i="4"/>
  <c r="O48" i="4"/>
  <c r="P48" i="4"/>
  <c r="Q48" i="4"/>
  <c r="R48" i="4"/>
  <c r="J49" i="4"/>
  <c r="K49" i="4"/>
  <c r="L49" i="4"/>
  <c r="M49" i="4"/>
  <c r="N49" i="4"/>
  <c r="O49" i="4"/>
  <c r="P49" i="4"/>
  <c r="Q49" i="4"/>
  <c r="R49" i="4"/>
  <c r="J50" i="4"/>
  <c r="K50" i="4"/>
  <c r="L50" i="4"/>
  <c r="M50" i="4"/>
  <c r="N50" i="4"/>
  <c r="O50" i="4"/>
  <c r="P50" i="4"/>
  <c r="Q50" i="4"/>
  <c r="R50" i="4"/>
  <c r="J51" i="4"/>
  <c r="K51" i="4"/>
  <c r="L51" i="4"/>
  <c r="M51" i="4"/>
  <c r="N51" i="4"/>
  <c r="O51" i="4"/>
  <c r="P51" i="4"/>
  <c r="Q51" i="4"/>
  <c r="R51" i="4"/>
  <c r="J52" i="4"/>
  <c r="K52" i="4"/>
  <c r="L52" i="4"/>
  <c r="M52" i="4"/>
  <c r="N52" i="4"/>
  <c r="O52" i="4"/>
  <c r="P52" i="4"/>
  <c r="Q52" i="4"/>
  <c r="R52" i="4"/>
  <c r="J53" i="4"/>
  <c r="K53" i="4"/>
  <c r="L53" i="4"/>
  <c r="M53" i="4"/>
  <c r="N53" i="4"/>
  <c r="O53" i="4"/>
  <c r="P53" i="4"/>
  <c r="Q53" i="4"/>
  <c r="R53" i="4"/>
  <c r="J54" i="4"/>
  <c r="K54" i="4"/>
  <c r="L54" i="4"/>
  <c r="M54" i="4"/>
  <c r="N54" i="4"/>
  <c r="O54" i="4"/>
  <c r="P54" i="4"/>
  <c r="Q54" i="4"/>
  <c r="R54" i="4"/>
  <c r="J55" i="4"/>
  <c r="K55" i="4"/>
  <c r="L55" i="4"/>
  <c r="M55" i="4"/>
  <c r="N55" i="4"/>
  <c r="O55" i="4"/>
  <c r="P55" i="4"/>
  <c r="Q55" i="4"/>
  <c r="R55" i="4"/>
  <c r="J56" i="4"/>
  <c r="K56" i="4"/>
  <c r="L56" i="4"/>
  <c r="M56" i="4"/>
  <c r="N56" i="4"/>
  <c r="O56" i="4"/>
  <c r="P56" i="4"/>
  <c r="Q56" i="4"/>
  <c r="R56" i="4"/>
  <c r="J57" i="4"/>
  <c r="K57" i="4"/>
  <c r="L57" i="4"/>
  <c r="M57" i="4"/>
  <c r="N57" i="4"/>
  <c r="O57" i="4"/>
  <c r="P57" i="4"/>
  <c r="Q57" i="4"/>
  <c r="R57" i="4"/>
  <c r="J58" i="4"/>
  <c r="K58" i="4"/>
  <c r="L58" i="4"/>
  <c r="M58" i="4"/>
  <c r="N58" i="4"/>
  <c r="O58" i="4"/>
  <c r="P58" i="4"/>
  <c r="Q58" i="4"/>
  <c r="R58" i="4"/>
  <c r="R23" i="4"/>
  <c r="Q23" i="4"/>
  <c r="P23" i="4"/>
  <c r="O23" i="4"/>
  <c r="N23" i="4"/>
  <c r="M23" i="4"/>
  <c r="J23" i="4"/>
  <c r="K23" i="4"/>
  <c r="L23" i="4"/>
  <c r="J22" i="4"/>
  <c r="M22" i="4" s="1"/>
  <c r="K22" i="4"/>
  <c r="Q22" i="4"/>
  <c r="N22" i="4" l="1"/>
  <c r="O22" i="4" s="1"/>
  <c r="P22" i="4" s="1"/>
  <c r="R22" i="4"/>
  <c r="D9" i="4" s="1"/>
  <c r="L22" i="4"/>
  <c r="H50" i="3" l="1"/>
  <c r="F50" i="3"/>
  <c r="E50" i="3"/>
  <c r="H49" i="3"/>
  <c r="F49" i="3"/>
  <c r="E49" i="3"/>
  <c r="F42" i="3"/>
  <c r="E42" i="3"/>
  <c r="G42" i="3" s="1"/>
  <c r="F41" i="3"/>
  <c r="E41" i="3"/>
  <c r="F40" i="3"/>
  <c r="E40" i="3"/>
  <c r="G40" i="3" s="1"/>
  <c r="F39" i="3"/>
  <c r="E39" i="3"/>
  <c r="F38" i="3"/>
  <c r="E38" i="3"/>
  <c r="G38" i="3" s="1"/>
  <c r="F37" i="3"/>
  <c r="E37" i="3"/>
  <c r="G37" i="3" s="1"/>
  <c r="D32" i="3"/>
  <c r="D31" i="3"/>
  <c r="D30" i="3"/>
  <c r="C31" i="3" s="1"/>
  <c r="C23" i="3"/>
  <c r="C33" i="3"/>
  <c r="E33" i="3" s="1"/>
  <c r="H42" i="3" s="1"/>
  <c r="G41" i="3" l="1"/>
  <c r="G49" i="3"/>
  <c r="G39" i="3"/>
  <c r="G50" i="3"/>
  <c r="H41" i="3"/>
  <c r="C53" i="3" a="1"/>
  <c r="C53" i="3" s="1"/>
  <c r="E30" i="3"/>
  <c r="H37" i="3" s="1"/>
  <c r="E31" i="3"/>
  <c r="H38" i="3" s="1"/>
  <c r="C32" i="3"/>
  <c r="E32" i="3" s="1"/>
  <c r="H40" i="3" l="1"/>
  <c r="H39" i="3"/>
  <c r="C45" i="3" l="1" a="1"/>
  <c r="C45" i="3" s="1"/>
  <c r="C19" i="3" s="1"/>
  <c r="B16" i="2"/>
  <c r="G16" i="2" s="1"/>
  <c r="I16" i="2" s="1"/>
  <c r="Q16" i="2"/>
  <c r="B17" i="2"/>
  <c r="G17" i="2" s="1"/>
  <c r="I17" i="2" s="1"/>
  <c r="B18" i="2"/>
  <c r="G18" i="2" s="1"/>
  <c r="I18" i="2" s="1"/>
  <c r="B19" i="2"/>
  <c r="G19" i="2" s="1"/>
  <c r="B20" i="2"/>
  <c r="G20" i="2" s="1"/>
  <c r="I20" i="2" s="1"/>
  <c r="B21" i="2"/>
  <c r="G21" i="2" s="1"/>
  <c r="B22" i="2"/>
  <c r="G22" i="2" s="1"/>
  <c r="B23" i="2"/>
  <c r="G23" i="2" s="1"/>
  <c r="I23" i="2" s="1"/>
  <c r="B24" i="2"/>
  <c r="G24" i="2" s="1"/>
  <c r="B25" i="2"/>
  <c r="G25" i="2" s="1"/>
  <c r="I25" i="2" s="1"/>
  <c r="B26" i="2"/>
  <c r="G26" i="2" s="1"/>
  <c r="B27" i="2"/>
  <c r="G27" i="2" s="1"/>
  <c r="B28" i="2"/>
  <c r="G28" i="2" s="1"/>
  <c r="B29" i="2"/>
  <c r="G29" i="2" s="1"/>
  <c r="B30" i="2"/>
  <c r="G30" i="2" s="1"/>
  <c r="I30" i="2" s="1"/>
  <c r="B31" i="2"/>
  <c r="G31" i="2" s="1"/>
  <c r="B32" i="2"/>
  <c r="G32" i="2" s="1"/>
  <c r="B33" i="2"/>
  <c r="G33" i="2" s="1"/>
  <c r="I33" i="2" s="1"/>
  <c r="B34" i="2"/>
  <c r="G34" i="2" s="1"/>
  <c r="I34" i="2" s="1"/>
  <c r="B35" i="2"/>
  <c r="G35" i="2" s="1"/>
  <c r="B36" i="2"/>
  <c r="G36" i="2" s="1"/>
  <c r="B37" i="2"/>
  <c r="G37" i="2" s="1"/>
  <c r="I37" i="2" s="1"/>
  <c r="B38" i="2"/>
  <c r="G38" i="2" s="1"/>
  <c r="B39" i="2"/>
  <c r="G39" i="2" s="1"/>
  <c r="B40" i="2"/>
  <c r="G40" i="2" s="1"/>
  <c r="B41" i="2"/>
  <c r="G41" i="2" s="1"/>
  <c r="B42" i="2"/>
  <c r="G42" i="2" s="1"/>
  <c r="B43" i="2"/>
  <c r="G43" i="2" s="1"/>
  <c r="I43" i="2" s="1"/>
  <c r="B44" i="2"/>
  <c r="G44" i="2" s="1"/>
  <c r="B45" i="2"/>
  <c r="G45" i="2" s="1"/>
  <c r="I45" i="2" s="1"/>
  <c r="B46" i="2"/>
  <c r="G46" i="2" s="1"/>
  <c r="B47" i="2"/>
  <c r="G47" i="2" s="1"/>
  <c r="B48" i="2"/>
  <c r="G48" i="2" s="1"/>
  <c r="Z16" i="2" l="1"/>
  <c r="V16" i="2"/>
  <c r="H33" i="2"/>
  <c r="H23" i="2"/>
  <c r="H30" i="2"/>
  <c r="H34" i="2"/>
  <c r="H40" i="2"/>
  <c r="I40" i="2"/>
  <c r="H39" i="2"/>
  <c r="I39" i="2"/>
  <c r="H43" i="2"/>
  <c r="H17" i="2"/>
  <c r="H45" i="2"/>
  <c r="H38" i="2"/>
  <c r="I38" i="2"/>
  <c r="H27" i="2"/>
  <c r="I27" i="2"/>
  <c r="H22" i="2"/>
  <c r="I22" i="2"/>
  <c r="H19" i="2"/>
  <c r="I19" i="2"/>
  <c r="U16" i="2" s="1" a="1"/>
  <c r="U16" i="2" s="1"/>
  <c r="R16" i="2" s="1"/>
  <c r="AB16" i="2" s="1"/>
  <c r="H44" i="2"/>
  <c r="I44" i="2"/>
  <c r="H48" i="2"/>
  <c r="I48" i="2"/>
  <c r="H47" i="2"/>
  <c r="I47" i="2"/>
  <c r="H42" i="2"/>
  <c r="I42" i="2"/>
  <c r="H26" i="2"/>
  <c r="I26" i="2"/>
  <c r="H21" i="2"/>
  <c r="I21" i="2"/>
  <c r="H35" i="2"/>
  <c r="I35" i="2"/>
  <c r="H36" i="2"/>
  <c r="I36" i="2"/>
  <c r="H31" i="2"/>
  <c r="I31" i="2"/>
  <c r="H24" i="2"/>
  <c r="I24" i="2"/>
  <c r="H29" i="2"/>
  <c r="I29" i="2"/>
  <c r="H28" i="2"/>
  <c r="I28" i="2"/>
  <c r="H37" i="2"/>
  <c r="H32" i="2"/>
  <c r="I32" i="2"/>
  <c r="H46" i="2"/>
  <c r="I46" i="2"/>
  <c r="H41" i="2"/>
  <c r="I41" i="2"/>
  <c r="H25" i="2"/>
  <c r="H20" i="2"/>
  <c r="H16" i="2"/>
  <c r="H18" i="2"/>
  <c r="AA16" i="2"/>
  <c r="W16" i="2"/>
  <c r="AC16" i="2" l="1"/>
  <c r="S16" i="2"/>
  <c r="X16" i="2"/>
  <c r="Y16" i="2" s="1"/>
  <c r="AD16" i="2" l="1"/>
  <c r="AE16" i="2" l="1"/>
  <c r="AF16" i="2" l="1"/>
  <c r="AG16" i="2" s="1"/>
  <c r="T16" i="2" s="1"/>
  <c r="F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tc={1FD4BE80-499B-4631-889F-02EA4C6ED751}</author>
  </authors>
  <commentList>
    <comment ref="C26" authorId="0" shapeId="0" xr:uid="{1FD4BE80-499B-4631-889F-02EA4C6ED751}">
      <text>
        <t>[Threaded comment]
Your version of Excel allows you to read this threaded comment; however, any edits to it will get removed if the file is opened in a newer version of Excel. Learn more: https://go.microsoft.com/fwlink/?linkid=870924
Comment:
    FVF is always 1 for liquids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tc={DF1FED6F-D01F-41A2-83CA-C3D1B6B27C64}</author>
  </authors>
  <commentList>
    <comment ref="D9" authorId="0" shapeId="0" xr:uid="{DF1FED6F-D01F-41A2-83CA-C3D1B6B27C64}">
      <text>
        <t>[Threaded comment]
Your version of Excel allows you to read this threaded comment; however, any edits to it will get removed if the file is opened in a newer version of Excel. Learn more: https://go.microsoft.com/fwlink/?linkid=870924
Comment:
    This is equivalent to the maximum sidebranch LOF</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<sst xmlns="http://schemas.openxmlformats.org/spreadsheetml/2006/main" count="251" uniqueCount="121">
  <si>
    <t>Y</t>
  </si>
  <si>
    <t>(PWL &gt; 155)</t>
  </si>
  <si>
    <t>(D/d &lt; 10)</t>
  </si>
  <si>
    <t>dB</t>
  </si>
  <si>
    <t>mm</t>
  </si>
  <si>
    <t>(Y/N)</t>
  </si>
  <si>
    <t>m</t>
  </si>
  <si>
    <t>#</t>
  </si>
  <si>
    <t>LOF</t>
  </si>
  <si>
    <t>Lf</t>
  </si>
  <si>
    <t>Lf,calc</t>
  </si>
  <si>
    <t>N,updated</t>
  </si>
  <si>
    <t>FLM3</t>
  </si>
  <si>
    <t>FLM2</t>
  </si>
  <si>
    <t>FLM1</t>
  </si>
  <si>
    <t>N</t>
  </si>
  <si>
    <t>B</t>
  </si>
  <si>
    <t>s</t>
  </si>
  <si>
    <t>a</t>
  </si>
  <si>
    <t>SUM</t>
  </si>
  <si>
    <t>PWL &gt;155?</t>
  </si>
  <si>
    <t>D,ext</t>
  </si>
  <si>
    <t>Piping Material Duplex?</t>
  </si>
  <si>
    <t>Weldolet?</t>
  </si>
  <si>
    <t>d,ext</t>
  </si>
  <si>
    <t>T</t>
  </si>
  <si>
    <t>L,dis</t>
  </si>
  <si>
    <t>D,int</t>
  </si>
  <si>
    <t>Discontinuity Jct</t>
  </si>
  <si>
    <t>PWL</t>
  </si>
  <si>
    <t>Low Noise Trim</t>
  </si>
  <si>
    <t>Source Junction</t>
  </si>
  <si>
    <t>Src</t>
  </si>
  <si>
    <t>Extended LOF Calculations for PWL,disc &gt; 155</t>
  </si>
  <si>
    <t>Multiple Sources PWL,disc Calculations</t>
  </si>
  <si>
    <t>Discontinuities</t>
  </si>
  <si>
    <t>Vibration Sources</t>
  </si>
  <si>
    <t>Result</t>
  </si>
  <si>
    <t>From Arrow</t>
  </si>
  <si>
    <t>User Input</t>
  </si>
  <si>
    <t>Key</t>
  </si>
  <si>
    <t>Main Line LOF</t>
  </si>
  <si>
    <t>https://publishing.energyinst.org/topics/asset-integrity/guidelines-for-the-avoidance-of-vibration-induced-fatigue-failure-in-process-pipework</t>
  </si>
  <si>
    <t>This workbook is intended for use by authorized users of the above guidelines. See the EI website for more information or to purchase the guidelines:</t>
  </si>
  <si>
    <t>The equations and methodology used here are from "Guidelines for the Avoidance of Vibration Induced Fatigue Failure in Process Pipework" Section T 2.7.</t>
  </si>
  <si>
    <t>***See High Frequency Acoustic Vibration (AIV) procedure for instructions on how to use this spreadsheet***</t>
  </si>
  <si>
    <t>(Advanced) Step 5: Determine the LOF</t>
  </si>
  <si>
    <t>All</t>
  </si>
  <si>
    <t xml:space="preserve"> </t>
  </si>
  <si>
    <t>Status</t>
  </si>
  <si>
    <t>Fv</t>
  </si>
  <si>
    <t>β</t>
  </si>
  <si>
    <t>α</t>
  </si>
  <si>
    <t>Max D,ext (mm)</t>
  </si>
  <si>
    <t>Min D,ext (mm)</t>
  </si>
  <si>
    <t>Support</t>
  </si>
  <si>
    <t>(Advanced) Step 4: Determine Fv</t>
  </si>
  <si>
    <t>Step 5: Calculate Flow Induced Turbulence LOF</t>
  </si>
  <si>
    <t>Flexible</t>
  </si>
  <si>
    <t>Medium</t>
  </si>
  <si>
    <t>Med Stiff</t>
  </si>
  <si>
    <t>Stiff</t>
  </si>
  <si>
    <t>Step 4: Determine Fv</t>
  </si>
  <si>
    <t>-</t>
  </si>
  <si>
    <t>14-16</t>
  </si>
  <si>
    <t>fn (Hz)</t>
  </si>
  <si>
    <t>Max L,span (m)</t>
  </si>
  <si>
    <t>Min L,span (m)</t>
  </si>
  <si>
    <t>Type</t>
  </si>
  <si>
    <t>Step 3: Determine Support Arrangement</t>
  </si>
  <si>
    <t>FVF</t>
  </si>
  <si>
    <t>Step 2: Determine fluid viscosity factor</t>
  </si>
  <si>
    <r>
      <t>kg/ms</t>
    </r>
    <r>
      <rPr>
        <vertAlign val="superscript"/>
        <sz val="11"/>
        <color theme="1"/>
        <rFont val="Calibri"/>
        <family val="2"/>
        <scheme val="minor"/>
      </rPr>
      <t>2</t>
    </r>
  </si>
  <si>
    <t>pv2</t>
  </si>
  <si>
    <t>Step 1: Determine pv2</t>
  </si>
  <si>
    <t>Output</t>
  </si>
  <si>
    <t>m/s</t>
  </si>
  <si>
    <t>v</t>
  </si>
  <si>
    <r>
      <t>kg/m</t>
    </r>
    <r>
      <rPr>
        <vertAlign val="superscript"/>
        <sz val="11"/>
        <color theme="1"/>
        <rFont val="Calibri"/>
        <family val="2"/>
        <scheme val="minor"/>
      </rPr>
      <t>3</t>
    </r>
  </si>
  <si>
    <t>ρ</t>
  </si>
  <si>
    <t>Hz</t>
  </si>
  <si>
    <t>fn (adv. only)</t>
  </si>
  <si>
    <t>AFT Export</t>
  </si>
  <si>
    <t>L,span</t>
  </si>
  <si>
    <t>Inputs</t>
  </si>
  <si>
    <t>The equations and methodology used here are from "Guidelines for the Avoidance of Vibration Induced Fatigue Failure in Process Pipework" Section T 2.2.</t>
  </si>
  <si>
    <t>***See Flow Induced Turbulence Vibrations (FIV) procedure for instructions on how to use this spreadsheet***</t>
  </si>
  <si>
    <t>kg/m3</t>
  </si>
  <si>
    <t>Fs</t>
  </si>
  <si>
    <t>S</t>
  </si>
  <si>
    <t>S1 (Re&lt;1.6E7)</t>
  </si>
  <si>
    <t>S (Re&gt;1.6E7)</t>
  </si>
  <si>
    <t>d,int &lt; d,crit?</t>
  </si>
  <si>
    <t>d,crit</t>
  </si>
  <si>
    <t>d,int/D,int</t>
  </si>
  <si>
    <t>Re</t>
  </si>
  <si>
    <t>c</t>
  </si>
  <si>
    <t>L,branch</t>
  </si>
  <si>
    <t>d,int</t>
  </si>
  <si>
    <t>Dead-end</t>
  </si>
  <si>
    <t>Gas density in main line (static)</t>
  </si>
  <si>
    <t>Velocity at branching point</t>
  </si>
  <si>
    <t>Re at branching point</t>
  </si>
  <si>
    <t>Length branch</t>
  </si>
  <si>
    <t>Internal diameter main line</t>
  </si>
  <si>
    <t>Internal diameter branch</t>
  </si>
  <si>
    <t>Sonic velocity at branching point</t>
  </si>
  <si>
    <t>Input Descriptions</t>
  </si>
  <si>
    <t>LOF Main Branch</t>
  </si>
  <si>
    <t>The equations and methodology used here are from "Guidelines for the Avoidance of Vibration Induced Fatigue Failure in Process Pipework" Section T 2.6.</t>
  </si>
  <si>
    <t>***See Pulsation: Flow Induced Excitation (FIP) procedure for instructions on how to use this spreadsheet***</t>
  </si>
  <si>
    <t>μ</t>
  </si>
  <si>
    <t>Pa-sec</t>
  </si>
  <si>
    <t>meters/sec</t>
  </si>
  <si>
    <t>P7 (Dead Leg Pipe) Hyd. Diameter</t>
  </si>
  <si>
    <t>PWL Adjusted</t>
  </si>
  <si>
    <t>db</t>
  </si>
  <si>
    <t>PWL,disc, total</t>
  </si>
  <si>
    <t>PWL at disc, per source</t>
  </si>
  <si>
    <t xml:space="preserve">Note: If there are multiple discontinuities, perform the analysis for each one using all AIV sources upstream of that junction. </t>
  </si>
  <si>
    <t>The main line LOF given by the spreadsheet is specific to the current discontinuity if there are several, follow Energy Institute guidelines section T2.7 to calculate the effective LOF for the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</si>
</sst>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11"/>
      <color theme="1"/>
      <name val="Arial"/>
      <family val="2"/>
    </font>
    <font>
      <b/>
      <sz val="12"/>
      <color theme="1"/>
      <name val="Calibri"/>
      <family val="2"/>
      <scheme val="minor"/>
    </font>
    <font>
      <vertAlign val="superscript"/>
      <sz val="11"/>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4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166">
    <xf numFmtId="0" fontId="0" fillId="0" borderId="0" xfId="0"/>
    <xf numFmtId="0" fontId="0" fillId="0" borderId="0" xfId="0" applyAlignment="1">
      <alignment horizontal="center"/>
    </xf>
    <xf numFmtId="164" fontId="0" fillId="0" borderId="2" xfId="0" applyNumberFormat="1" applyBorder="1" applyAlignment="1">
      <alignment horizontal="center"/>
    </xf>
    <xf numFmtId="2" fontId="0" fillId="0" borderId="2" xfId="0" applyNumberFormat="1" applyBorder="1" applyAlignment="1">
      <alignment horizontal="center"/>
    </xf>
    <xf numFmtId="1" fontId="0" fillId="0" borderId="2" xfId="0" applyNumberFormat="1" applyBorder="1" applyAlignment="1">
      <alignment horizontal="center"/>
    </xf>
    <xf numFmtId="165" fontId="0" fillId="0" borderId="2" xfId="0" applyNumberFormat="1" applyBorder="1" applyAlignment="1">
      <alignment horizontal="center"/>
    </xf>
    <xf numFmtId="0" fontId="0" fillId="0" borderId="2" xfId="0" applyBorder="1" applyAlignment="1">
      <alignment horizontal="center"/>
    </xf>
    <xf numFmtId="0" fontId="0" fillId="2" borderId="2" xfId="0" applyFill="1" applyBorder="1" applyAlignment="1">
      <alignment horizontal="center"/>
    </xf>
    <xf numFmtId="0" fontId="0" fillId="3" borderId="2" xfId="0" applyFill="1" applyBorder="1" applyAlignment="1">
      <alignment horizontal="center"/>
    </xf>
    <xf numFmtId="0" fontId="0" fillId="2" borderId="4" xfId="0" applyFill="1" applyBorder="1" applyAlignment="1">
      <alignment horizontal="center"/>
    </xf>
    <xf numFmtId="0" fontId="0" fillId="0" borderId="1" xfId="0"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0" fillId="2" borderId="0" xfId="0" applyFill="1" applyAlignment="1">
      <alignment horizontal="center"/>
    </xf>
    <xf numFmtId="0" fontId="0" fillId="3" borderId="0" xfId="0" applyFill="1" applyAlignment="1">
      <alignment horizontal="center"/>
    </xf>
    <xf numFmtId="0" fontId="0" fillId="2" borderId="7" xfId="0" applyFill="1" applyBorder="1" applyAlignment="1">
      <alignment horizontal="center"/>
    </xf>
    <xf numFmtId="0" fontId="0" fillId="0" borderId="5" xfId="0" applyBorder="1" applyAlignment="1">
      <alignment horizontal="center"/>
    </xf>
    <xf numFmtId="1" fontId="0" fillId="0" borderId="9" xfId="0" applyNumberFormat="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0" borderId="1" xfId="0" applyBorder="1"/>
    <xf numFmtId="0" fontId="0" fillId="0" borderId="2" xfId="0" applyBorder="1"/>
    <xf numFmtId="0" fontId="0" fillId="0" borderId="3" xfId="0" applyBorder="1" applyAlignment="1">
      <alignment horizontal="center"/>
    </xf>
    <xf numFmtId="0" fontId="0" fillId="2" borderId="4" xfId="0" applyFill="1" applyBorder="1"/>
    <xf numFmtId="0" fontId="1" fillId="0" borderId="8"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0" fontId="1" fillId="2" borderId="9" xfId="0" applyFont="1" applyFill="1" applyBorder="1" applyAlignment="1">
      <alignment horizontal="center"/>
    </xf>
    <xf numFmtId="0" fontId="1" fillId="3" borderId="9" xfId="0" applyFont="1" applyFill="1" applyBorder="1" applyAlignment="1">
      <alignment horizontal="center"/>
    </xf>
    <xf numFmtId="0" fontId="1" fillId="2" borderId="10" xfId="0" applyFont="1" applyFill="1" applyBorder="1" applyAlignment="1">
      <alignment horizontal="center"/>
    </xf>
    <xf numFmtId="0" fontId="1" fillId="0" borderId="0" xfId="0" applyFont="1" applyAlignment="1">
      <alignment horizontal="center"/>
    </xf>
    <xf numFmtId="0" fontId="1" fillId="0" borderId="14" xfId="0" applyFont="1" applyBorder="1"/>
    <xf numFmtId="0" fontId="0" fillId="4" borderId="3" xfId="0" applyFill="1" applyBorder="1"/>
    <xf numFmtId="0" fontId="0" fillId="3" borderId="6" xfId="0" applyFill="1" applyBorder="1"/>
    <xf numFmtId="0" fontId="0" fillId="2" borderId="6" xfId="0" applyFill="1" applyBorder="1"/>
    <xf numFmtId="0" fontId="1" fillId="0" borderId="0" xfId="0" applyFont="1"/>
    <xf numFmtId="164" fontId="0" fillId="4" borderId="12" xfId="0" applyNumberFormat="1" applyFill="1" applyBorder="1" applyAlignment="1">
      <alignment horizontal="center"/>
    </xf>
    <xf numFmtId="0" fontId="1" fillId="0" borderId="15" xfId="0" applyFont="1" applyBorder="1"/>
    <xf numFmtId="0" fontId="0" fillId="5" borderId="2" xfId="0" applyFill="1" applyBorder="1"/>
    <xf numFmtId="0" fontId="0" fillId="5" borderId="4" xfId="0" applyFill="1" applyBorder="1"/>
    <xf numFmtId="0" fontId="0" fillId="5" borderId="0" xfId="0" applyFill="1"/>
    <xf numFmtId="0" fontId="0" fillId="5" borderId="7" xfId="0" applyFill="1" applyBorder="1"/>
    <xf numFmtId="0" fontId="0" fillId="5" borderId="9" xfId="0" applyFill="1" applyBorder="1"/>
    <xf numFmtId="0" fontId="0" fillId="5" borderId="10" xfId="0" applyFill="1" applyBorder="1"/>
    <xf numFmtId="0" fontId="3" fillId="0" borderId="0" xfId="0" applyFont="1"/>
    <xf numFmtId="164" fontId="1" fillId="0" borderId="1" xfId="0" applyNumberFormat="1" applyFont="1" applyBorder="1" applyAlignment="1">
      <alignment horizontal="center"/>
    </xf>
    <xf numFmtId="164" fontId="1" fillId="0" borderId="16" xfId="0" applyNumberFormat="1" applyFont="1" applyBorder="1" applyAlignment="1">
      <alignment horizontal="center"/>
    </xf>
    <xf numFmtId="0" fontId="1" fillId="0" borderId="4"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 fillId="0" borderId="22" xfId="0" applyFont="1" applyBorder="1" applyAlignment="1">
      <alignment horizontal="center"/>
    </xf>
    <xf numFmtId="0" fontId="0" fillId="0" borderId="23" xfId="0" applyBorder="1" applyAlignment="1">
      <alignment horizontal="center"/>
    </xf>
    <xf numFmtId="1" fontId="0" fillId="0" borderId="24" xfId="0" applyNumberFormat="1" applyBorder="1" applyAlignment="1">
      <alignment horizontal="center"/>
    </xf>
    <xf numFmtId="2" fontId="0" fillId="0" borderId="24" xfId="0" applyNumberFormat="1"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4"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164" fontId="1" fillId="0" borderId="31" xfId="0" applyNumberFormat="1" applyFont="1" applyBorder="1" applyAlignment="1">
      <alignment horizontal="center"/>
    </xf>
    <xf numFmtId="164" fontId="1" fillId="0" borderId="32" xfId="0" applyNumberFormat="1" applyFont="1" applyBorder="1" applyAlignment="1">
      <alignment horizontal="center"/>
    </xf>
    <xf numFmtId="0" fontId="1" fillId="0" borderId="33"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1" fillId="0" borderId="39" xfId="0" applyFont="1" applyBorder="1" applyAlignment="1">
      <alignment horizontal="center"/>
    </xf>
    <xf numFmtId="0" fontId="0" fillId="0" borderId="40" xfId="0" applyBorder="1" applyAlignment="1">
      <alignment horizontal="center"/>
    </xf>
    <xf numFmtId="1" fontId="0" fillId="0" borderId="41" xfId="0" applyNumberFormat="1" applyBorder="1" applyAlignment="1">
      <alignment horizontal="center"/>
    </xf>
    <xf numFmtId="2" fontId="0" fillId="0" borderId="41" xfId="0" applyNumberFormat="1"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0" fontId="1" fillId="0" borderId="43" xfId="0" applyFont="1" applyBorder="1" applyAlignment="1">
      <alignment horizontal="center"/>
    </xf>
    <xf numFmtId="0" fontId="0" fillId="0" borderId="27" xfId="0" applyBorder="1" applyAlignment="1">
      <alignment horizontal="center"/>
    </xf>
    <xf numFmtId="1" fontId="0" fillId="0" borderId="28" xfId="0" applyNumberFormat="1" applyBorder="1" applyAlignment="1">
      <alignment horizontal="center"/>
    </xf>
    <xf numFmtId="2" fontId="0" fillId="0" borderId="28" xfId="0" applyNumberFormat="1"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16" xfId="0" applyBorder="1"/>
    <xf numFmtId="0" fontId="0" fillId="0" borderId="44" xfId="0" applyBorder="1"/>
    <xf numFmtId="0" fontId="1" fillId="0" borderId="45" xfId="0" applyFont="1"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5" fillId="0" borderId="0" xfId="0" applyFont="1"/>
    <xf numFmtId="0" fontId="0" fillId="0" borderId="31" xfId="0" applyBorder="1" applyAlignment="1">
      <alignment horizontal="center" vertical="center"/>
    </xf>
    <xf numFmtId="0" fontId="0" fillId="0" borderId="33" xfId="0" applyBorder="1" applyAlignment="1">
      <alignment horizontal="center" vertical="center"/>
    </xf>
    <xf numFmtId="0" fontId="0" fillId="4" borderId="31" xfId="0" applyFill="1" applyBorder="1"/>
    <xf numFmtId="164" fontId="0" fillId="4" borderId="32" xfId="0" applyNumberFormat="1" applyFill="1" applyBorder="1" applyAlignment="1">
      <alignment horizontal="center"/>
    </xf>
    <xf numFmtId="0" fontId="1" fillId="4" borderId="33" xfId="0" applyFont="1" applyFill="1" applyBorder="1" applyAlignment="1">
      <alignment horizontal="center"/>
    </xf>
    <xf numFmtId="0" fontId="0" fillId="3" borderId="20" xfId="0" applyFill="1" applyBorder="1" applyAlignment="1">
      <alignment horizontal="center"/>
    </xf>
    <xf numFmtId="0" fontId="1" fillId="3" borderId="22" xfId="0" applyFont="1" applyFill="1" applyBorder="1" applyAlignment="1">
      <alignment horizontal="center"/>
    </xf>
    <xf numFmtId="0" fontId="0" fillId="3" borderId="37" xfId="0" applyFill="1" applyBorder="1" applyAlignment="1">
      <alignment horizontal="center"/>
    </xf>
    <xf numFmtId="0" fontId="4" fillId="3" borderId="39" xfId="0" applyFont="1" applyFill="1" applyBorder="1" applyAlignment="1">
      <alignment horizontal="center"/>
    </xf>
    <xf numFmtId="0" fontId="1" fillId="3" borderId="39" xfId="0" applyFont="1" applyFill="1" applyBorder="1" applyAlignment="1">
      <alignment horizontal="center"/>
    </xf>
    <xf numFmtId="0" fontId="0" fillId="2" borderId="37" xfId="0" applyFill="1" applyBorder="1" applyAlignment="1">
      <alignment horizontal="center"/>
    </xf>
    <xf numFmtId="0" fontId="1" fillId="2" borderId="39" xfId="0" applyFont="1" applyFill="1" applyBorder="1" applyAlignment="1">
      <alignment horizontal="center"/>
    </xf>
    <xf numFmtId="0" fontId="0" fillId="2" borderId="23" xfId="0" applyFill="1" applyBorder="1" applyAlignment="1">
      <alignment horizontal="center"/>
    </xf>
    <xf numFmtId="0" fontId="1" fillId="2" borderId="26" xfId="0" applyFont="1" applyFill="1" applyBorder="1" applyAlignment="1">
      <alignment horizontal="center"/>
    </xf>
    <xf numFmtId="0" fontId="1" fillId="0" borderId="47" xfId="0" applyFont="1" applyBorder="1"/>
    <xf numFmtId="0" fontId="0" fillId="5" borderId="1" xfId="0" applyFill="1" applyBorder="1"/>
    <xf numFmtId="0" fontId="0" fillId="5" borderId="5" xfId="0" applyFill="1" applyBorder="1"/>
    <xf numFmtId="0" fontId="0" fillId="5" borderId="8" xfId="0" applyFill="1" applyBorder="1"/>
    <xf numFmtId="166" fontId="0" fillId="3" borderId="2" xfId="0" applyNumberFormat="1" applyFill="1" applyBorder="1" applyAlignment="1">
      <alignment horizontal="center"/>
    </xf>
    <xf numFmtId="0" fontId="0" fillId="3" borderId="4" xfId="0" applyFill="1" applyBorder="1" applyAlignment="1">
      <alignment horizontal="center"/>
    </xf>
    <xf numFmtId="0" fontId="0" fillId="3" borderId="7" xfId="0" applyFill="1" applyBorder="1" applyAlignment="1">
      <alignment horizontal="center"/>
    </xf>
    <xf numFmtId="0" fontId="1" fillId="3" borderId="10" xfId="0" applyFont="1" applyFill="1" applyBorder="1" applyAlignment="1">
      <alignment horizontal="center"/>
    </xf>
    <xf numFmtId="0" fontId="4" fillId="0" borderId="0" xfId="0" applyFont="1" applyAlignment="1">
      <alignment horizontal="center"/>
    </xf>
    <xf numFmtId="0" fontId="4" fillId="5" borderId="4" xfId="0" applyFont="1" applyFill="1" applyBorder="1" applyAlignment="1">
      <alignment horizontal="center"/>
    </xf>
    <xf numFmtId="0" fontId="4" fillId="5" borderId="7" xfId="0" applyFont="1" applyFill="1" applyBorder="1" applyAlignment="1">
      <alignment horizontal="center"/>
    </xf>
    <xf numFmtId="0" fontId="1" fillId="5" borderId="7" xfId="0" applyFont="1" applyFill="1" applyBorder="1" applyAlignment="1">
      <alignment horizontal="center"/>
    </xf>
    <xf numFmtId="0" fontId="0" fillId="5" borderId="12" xfId="0" applyFill="1" applyBorder="1"/>
    <xf numFmtId="0" fontId="0" fillId="5" borderId="13" xfId="0" applyFill="1" applyBorder="1"/>
    <xf numFmtId="0" fontId="1" fillId="5" borderId="13" xfId="0" applyFont="1" applyFill="1" applyBorder="1"/>
    <xf numFmtId="0" fontId="1" fillId="5" borderId="15" xfId="0" applyFont="1" applyFill="1" applyBorder="1"/>
    <xf numFmtId="0" fontId="0" fillId="0" borderId="13" xfId="0" applyBorder="1"/>
    <xf numFmtId="0" fontId="0" fillId="3" borderId="10" xfId="0" applyFill="1" applyBorder="1" applyAlignment="1">
      <alignment horizontal="center"/>
    </xf>
    <xf numFmtId="166" fontId="0" fillId="3" borderId="9" xfId="0" applyNumberFormat="1" applyFill="1" applyBorder="1" applyAlignment="1">
      <alignment horizontal="center"/>
    </xf>
    <xf numFmtId="0" fontId="0" fillId="0" borderId="9" xfId="0" applyBorder="1" applyAlignment="1">
      <alignment horizontal="center"/>
    </xf>
    <xf numFmtId="164" fontId="0" fillId="0" borderId="9" xfId="0" applyNumberFormat="1" applyBorder="1" applyAlignment="1">
      <alignment horizontal="center"/>
    </xf>
    <xf numFmtId="166" fontId="0" fillId="3" borderId="0" xfId="0" applyNumberFormat="1" applyFill="1" applyAlignment="1">
      <alignment horizontal="center"/>
    </xf>
    <xf numFmtId="165" fontId="0" fillId="0" borderId="9" xfId="0" applyNumberFormat="1" applyBorder="1" applyAlignment="1">
      <alignment horizontal="center"/>
    </xf>
    <xf numFmtId="164" fontId="0" fillId="0" borderId="8" xfId="0" applyNumberFormat="1" applyBorder="1" applyAlignment="1">
      <alignment horizontal="center"/>
    </xf>
    <xf numFmtId="0" fontId="4" fillId="3" borderId="22" xfId="0" applyFont="1" applyFill="1" applyBorder="1" applyAlignment="1">
      <alignment horizontal="center"/>
    </xf>
    <xf numFmtId="0" fontId="0" fillId="0" borderId="32" xfId="0" applyBorder="1" applyAlignment="1">
      <alignment horizontal="center" vertical="center"/>
    </xf>
    <xf numFmtId="0" fontId="0" fillId="0" borderId="32" xfId="0" applyBorder="1" applyAlignment="1">
      <alignment horizontal="center"/>
    </xf>
    <xf numFmtId="0" fontId="0" fillId="2" borderId="46" xfId="0" applyFill="1" applyBorder="1" applyAlignment="1">
      <alignment horizontal="center"/>
    </xf>
    <xf numFmtId="0" fontId="0" fillId="2" borderId="44" xfId="0" applyFill="1" applyBorder="1" applyAlignment="1">
      <alignment horizontal="center"/>
    </xf>
    <xf numFmtId="0" fontId="2" fillId="0" borderId="12" xfId="0" applyFont="1" applyBorder="1" applyAlignment="1">
      <alignment horizontal="left"/>
    </xf>
    <xf numFmtId="166" fontId="0" fillId="3" borderId="44" xfId="0" applyNumberFormat="1" applyFill="1" applyBorder="1" applyAlignment="1">
      <alignment horizontal="center"/>
    </xf>
    <xf numFmtId="166" fontId="0" fillId="3" borderId="16" xfId="0" applyNumberFormat="1" applyFill="1" applyBorder="1" applyAlignment="1">
      <alignment horizontal="center"/>
    </xf>
    <xf numFmtId="165" fontId="0" fillId="0" borderId="0" xfId="0" applyNumberFormat="1" applyAlignment="1">
      <alignment horizontal="center"/>
    </xf>
    <xf numFmtId="11" fontId="0" fillId="0" borderId="0" xfId="0" applyNumberFormat="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165" fontId="0" fillId="0" borderId="13" xfId="0" applyNumberFormat="1" applyBorder="1" applyAlignment="1">
      <alignment horizontal="center"/>
    </xf>
    <xf numFmtId="1" fontId="0" fillId="0" borderId="13" xfId="0" applyNumberFormat="1" applyBorder="1" applyAlignment="1">
      <alignment horizontal="center"/>
    </xf>
    <xf numFmtId="0" fontId="0" fillId="0" borderId="13" xfId="0" applyBorder="1" applyAlignment="1">
      <alignment horizontal="center"/>
    </xf>
    <xf numFmtId="164" fontId="0" fillId="0" borderId="13" xfId="0" applyNumberFormat="1" applyBorder="1" applyAlignment="1">
      <alignment horizontal="center"/>
    </xf>
    <xf numFmtId="11" fontId="0" fillId="0" borderId="14" xfId="0" applyNumberFormat="1" applyBorder="1" applyAlignment="1">
      <alignment horizontal="center"/>
    </xf>
    <xf numFmtId="11" fontId="0" fillId="0" borderId="13" xfId="0" applyNumberFormat="1" applyBorder="1" applyAlignment="1">
      <alignment horizontal="center"/>
    </xf>
    <xf numFmtId="2" fontId="0" fillId="0" borderId="13" xfId="0" applyNumberFormat="1" applyBorder="1" applyAlignment="1">
      <alignment horizontal="center"/>
    </xf>
    <xf numFmtId="164" fontId="0" fillId="0" borderId="12" xfId="0" applyNumberFormat="1" applyBorder="1" applyAlignment="1">
      <alignment horizontal="center"/>
    </xf>
    <xf numFmtId="0" fontId="1" fillId="0" borderId="5" xfId="0" applyFont="1" applyBorder="1" applyAlignment="1">
      <alignment horizontal="center"/>
    </xf>
    <xf numFmtId="165" fontId="0" fillId="0" borderId="5" xfId="0" applyNumberFormat="1" applyBorder="1" applyAlignment="1">
      <alignment horizontal="center"/>
    </xf>
    <xf numFmtId="165" fontId="0" fillId="0" borderId="1" xfId="0" applyNumberFormat="1" applyBorder="1" applyAlignment="1">
      <alignment horizontal="center"/>
    </xf>
    <xf numFmtId="164" fontId="0" fillId="4" borderId="13" xfId="0" applyNumberFormat="1" applyFill="1" applyBorder="1" applyAlignment="1">
      <alignment horizontal="center"/>
    </xf>
    <xf numFmtId="166" fontId="0" fillId="3" borderId="13" xfId="0" applyNumberFormat="1" applyFill="1" applyBorder="1" applyAlignment="1">
      <alignment horizontal="center"/>
    </xf>
    <xf numFmtId="164" fontId="0" fillId="0" borderId="0" xfId="0" quotePrefix="1" applyNumberFormat="1" applyAlignment="1">
      <alignment horizontal="center"/>
    </xf>
    <xf numFmtId="0" fontId="1" fillId="5" borderId="36" xfId="0" applyFont="1" applyFill="1" applyBorder="1" applyAlignment="1">
      <alignment horizontal="center"/>
    </xf>
    <xf numFmtId="0" fontId="1" fillId="5" borderId="35" xfId="0" applyFont="1" applyFill="1" applyBorder="1" applyAlignment="1">
      <alignment horizontal="center"/>
    </xf>
    <xf numFmtId="0" fontId="1" fillId="5" borderId="34" xfId="0" applyFont="1" applyFill="1" applyBorder="1" applyAlignment="1">
      <alignment horizontal="center"/>
    </xf>
    <xf numFmtId="0" fontId="1" fillId="0" borderId="19" xfId="0" applyFont="1" applyBorder="1" applyAlignment="1">
      <alignment horizontal="center"/>
    </xf>
    <xf numFmtId="0" fontId="1" fillId="0" borderId="18" xfId="0" applyFont="1" applyBorder="1" applyAlignment="1">
      <alignment horizontal="center"/>
    </xf>
    <xf numFmtId="0" fontId="1" fillId="0" borderId="17" xfId="0" applyFont="1" applyBorder="1" applyAlignment="1">
      <alignment horizontal="center"/>
    </xf>
    <xf numFmtId="0" fontId="1" fillId="5" borderId="10" xfId="0" applyFont="1" applyFill="1" applyBorder="1" applyAlignment="1">
      <alignment horizontal="center"/>
    </xf>
    <xf numFmtId="0" fontId="1" fillId="5" borderId="9" xfId="0" applyFont="1" applyFill="1" applyBorder="1" applyAlignment="1">
      <alignment horizontal="center"/>
    </xf>
    <xf numFmtId="0" fontId="1" fillId="5" borderId="8" xfId="0" applyFont="1" applyFill="1" applyBorder="1" applyAlignment="1">
      <alignment horizontal="center"/>
    </xf>
    <xf numFmtId="0" fontId="1" fillId="0" borderId="36" xfId="0" applyFont="1" applyBorder="1" applyAlignment="1">
      <alignment horizontal="center"/>
    </xf>
    <xf numFmtId="0" fontId="1" fillId="0" borderId="35" xfId="0" applyFont="1" applyBorder="1" applyAlignment="1">
      <alignment horizontal="center"/>
    </xf>
    <xf numFmtId="0" fontId="1" fillId="0" borderId="34" xfId="0" applyFont="1" applyBorder="1" applyAlignment="1">
      <alignment horizontal="center"/>
    </xf>
    <xf numFmtId="0" fontId="2" fillId="0" borderId="15" xfId="0" applyFont="1" applyBorder="1" applyAlignment="1">
      <alignment horizontal="left"/>
    </xf>
    <xf numFmtId="0" fontId="2" fillId="0" borderId="13" xfId="0" applyFont="1" applyBorder="1" applyAlignment="1">
      <alignment horizontal="left"/>
    </xf>
    <xf numFmtId="0" fontId="1" fillId="0" borderId="13" xfId="0" applyFont="1" applyBorder="1" applyAlignment="1">
      <alignment horizontal="left"/>
    </xf>
    <xf numFmtId="0" fontId="1" fillId="0" borderId="12" xfId="0" applyFont="1" applyBorder="1" applyAlignment="1">
      <alignment horizontal="left"/>
    </xf>
  </cellXfs>
  <cellStyles count="1">
    <cellStyle name="Normal" xfId="0" builtinId="0"/>
  </cellStyles>
  <dxfs count="28">
    <dxf>
      <font>
        <color rgb="FF9C0006"/>
      </font>
      <fill>
        <patternFill>
          <bgColor rgb="FFFFC7CE"/>
        </patternFill>
      </fill>
    </dxf>
    <dxf>
      <font>
        <color rgb="FF9C0006"/>
      </font>
      <fill>
        <patternFill>
          <bgColor rgb="FFFFC7CE"/>
        </patternFill>
      </fill>
    </dxf>
    <dxf>
      <fill>
        <patternFill>
          <bgColor rgb="FFFFFF00"/>
        </patternFill>
      </fill>
    </dxf>
    <dxf>
      <font>
        <color theme="0" tint="-0.499984740745262"/>
      </font>
      <fill>
        <patternFill>
          <bgColor theme="0" tint="-4.9989318521683403E-2"/>
        </patternFill>
      </fill>
    </dxf>
    <dxf>
      <font>
        <color theme="0" tint="-0.499984740745262"/>
      </font>
      <fill>
        <patternFill>
          <bgColor theme="0" tint="-4.9989318521683403E-2"/>
        </patternFill>
      </fill>
    </dxf>
    <dxf>
      <font>
        <color theme="0" tint="-0.499984740745262"/>
      </font>
      <fill>
        <patternFill>
          <bgColor theme="0" tint="-4.9989318521683403E-2"/>
        </patternFill>
      </fill>
    </dxf>
    <dxf>
      <fill>
        <patternFill>
          <bgColor theme="9" tint="0.79998168889431442"/>
        </patternFill>
      </fill>
    </dxf>
    <dxf>
      <font>
        <color rgb="FF9C57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rgb="FFFFFF00"/>
        </patternFill>
      </fill>
    </dxf>
    <dxf>
      <font>
        <color theme="0" tint="-0.499984740745262"/>
      </font>
      <fill>
        <patternFill>
          <bgColor theme="0" tint="-4.9989318521683403E-2"/>
        </patternFill>
      </fill>
    </dxf>
    <dxf>
      <fill>
        <patternFill>
          <bgColor theme="9" tint="0.79998168889431442"/>
        </patternFill>
      </fill>
    </dxf>
    <dxf>
      <font>
        <color rgb="FF9C57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rgb="FFFFFF00"/>
        </patternFill>
      </fill>
    </dxf>
    <dxf>
      <font>
        <color theme="0" tint="-0.49998474074526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tephanie Villars" id="{D7FB38FB-AD3A-446B-99CC-ADA2D743B911}" userId="S::stephanievillars@aft.com::48e988ab-e4c5-43df-9511-75ebfaa96f1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6" dT="2020-09-15T22:56:50.57" personId="{D7FB38FB-AD3A-446B-99CC-ADA2D743B911}" id="{1FD4BE80-499B-4631-889F-02EA4C6ED751}">
    <text>FVF is always 1 for liquids</text>
  </threadedComment>
</ThreadedComments>
</file>

<file path=xl/threadedComments/threadedComment2.xml><?xml version="1.0" encoding="utf-8"?>
<ThreadedComments xmlns="http://schemas.microsoft.com/office/spreadsheetml/2018/threadedcomments" xmlns:x="http://schemas.openxmlformats.org/spreadsheetml/2006/main">
  <threadedComment ref="D9" dT="2020-09-30T21:57:57.30" personId="{D7FB38FB-AD3A-446B-99CC-ADA2D743B911}" id="{DF1FED6F-D01F-41A2-83CA-C3D1B6B27C64}">
    <text>This is equivalent to the maximum sidebranch LOF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E6D5-32BC-442C-8B5B-29AEF4174CE2}">
  <dimension ref="B2:P53"/>
  <sheetViews>
    <sheetView tabSelected="1" zoomScaleNormal="100" workbookViewId="0">
      <selection activeCell="I14" sqref="I14"/>
    </sheetView>
  </sheetViews>
  <sheetFormatPr defaultRowHeight="14.4" x14ac:dyDescent="0.3"/>
  <cols>
    <col min="2" max="2" width="14.44140625" customWidth="1"/>
    <col min="3" max="3" width="15.109375" bestFit="1" customWidth="1"/>
    <col min="4" max="4" width="15.44140625" bestFit="1" customWidth="1"/>
    <col min="5" max="5" width="8.5546875" bestFit="1" customWidth="1"/>
    <col min="6" max="6" width="10.88671875" customWidth="1"/>
    <col min="8" max="8" width="9" customWidth="1"/>
    <col min="9" max="9" width="14.44140625" bestFit="1" customWidth="1"/>
    <col min="10" max="10" width="15" customWidth="1"/>
    <col min="11" max="11" width="10.44140625" bestFit="1" customWidth="1"/>
    <col min="12" max="12" width="9.88671875" customWidth="1"/>
    <col min="13" max="13" width="11.88671875" customWidth="1"/>
    <col min="14" max="14" width="9.6640625" customWidth="1"/>
    <col min="16" max="16" width="12.109375" bestFit="1" customWidth="1"/>
    <col min="19" max="19" width="25.5546875" customWidth="1"/>
  </cols>
  <sheetData>
    <row r="2" spans="2:16" x14ac:dyDescent="0.3">
      <c r="B2" s="45" t="s">
        <v>86</v>
      </c>
    </row>
    <row r="3" spans="2:16" ht="15" thickBot="1" x14ac:dyDescent="0.35"/>
    <row r="4" spans="2:16" x14ac:dyDescent="0.3">
      <c r="B4" s="44" t="s">
        <v>85</v>
      </c>
      <c r="C4" s="43"/>
      <c r="D4" s="43"/>
      <c r="E4" s="43"/>
      <c r="F4" s="43"/>
      <c r="G4" s="43"/>
      <c r="H4" s="43"/>
      <c r="I4" s="43"/>
      <c r="J4" s="43"/>
      <c r="K4" s="43"/>
      <c r="L4" s="43"/>
      <c r="M4" s="43"/>
      <c r="N4" s="103"/>
    </row>
    <row r="5" spans="2:16" x14ac:dyDescent="0.3">
      <c r="B5" s="42" t="s">
        <v>43</v>
      </c>
      <c r="C5" s="41"/>
      <c r="D5" s="41"/>
      <c r="E5" s="41"/>
      <c r="F5" s="41"/>
      <c r="G5" s="41"/>
      <c r="H5" s="41"/>
      <c r="I5" s="41"/>
      <c r="J5" s="41"/>
      <c r="K5" s="41"/>
      <c r="L5" s="41"/>
      <c r="M5" s="41"/>
      <c r="N5" s="102"/>
    </row>
    <row r="6" spans="2:16" ht="15" thickBot="1" x14ac:dyDescent="0.35">
      <c r="B6" s="40" t="s">
        <v>42</v>
      </c>
      <c r="C6" s="39"/>
      <c r="D6" s="39"/>
      <c r="E6" s="39"/>
      <c r="F6" s="39"/>
      <c r="G6" s="39"/>
      <c r="H6" s="39"/>
      <c r="I6" s="39"/>
      <c r="J6" s="39"/>
      <c r="K6" s="39"/>
      <c r="L6" s="39"/>
      <c r="M6" s="39"/>
      <c r="N6" s="101"/>
    </row>
    <row r="8" spans="2:16" ht="15" thickBot="1" x14ac:dyDescent="0.35"/>
    <row r="9" spans="2:16" x14ac:dyDescent="0.3">
      <c r="B9" s="156" t="s">
        <v>84</v>
      </c>
      <c r="C9" s="157"/>
      <c r="D9" s="158"/>
      <c r="F9" s="100" t="s">
        <v>40</v>
      </c>
      <c r="P9" s="31"/>
    </row>
    <row r="10" spans="2:16" x14ac:dyDescent="0.3">
      <c r="B10" s="99" t="s">
        <v>83</v>
      </c>
      <c r="C10" s="127">
        <v>7</v>
      </c>
      <c r="D10" s="98" t="s">
        <v>6</v>
      </c>
      <c r="F10" s="35" t="s">
        <v>39</v>
      </c>
      <c r="P10" s="31"/>
    </row>
    <row r="11" spans="2:16" x14ac:dyDescent="0.3">
      <c r="B11" s="97" t="s">
        <v>25</v>
      </c>
      <c r="C11" s="128">
        <v>9.5250000000000004</v>
      </c>
      <c r="D11" s="96" t="s">
        <v>4</v>
      </c>
      <c r="F11" s="34" t="s">
        <v>82</v>
      </c>
      <c r="P11" s="31"/>
    </row>
    <row r="12" spans="2:16" ht="15" thickBot="1" x14ac:dyDescent="0.35">
      <c r="B12" s="97" t="s">
        <v>81</v>
      </c>
      <c r="C12" s="128">
        <v>1</v>
      </c>
      <c r="D12" s="96" t="s">
        <v>80</v>
      </c>
      <c r="F12" s="33" t="s">
        <v>37</v>
      </c>
      <c r="P12" s="31"/>
    </row>
    <row r="13" spans="2:16" x14ac:dyDescent="0.3">
      <c r="B13" s="95" t="s">
        <v>27</v>
      </c>
      <c r="C13" s="130">
        <v>438.14999389648438</v>
      </c>
      <c r="D13" s="93" t="s">
        <v>4</v>
      </c>
      <c r="P13" s="31"/>
    </row>
    <row r="14" spans="2:16" ht="16.2" x14ac:dyDescent="0.3">
      <c r="B14" s="94" t="s">
        <v>79</v>
      </c>
      <c r="C14" s="130">
        <v>998.9342041015625</v>
      </c>
      <c r="D14" s="93" t="s">
        <v>78</v>
      </c>
      <c r="P14" s="31"/>
    </row>
    <row r="15" spans="2:16" ht="15" thickBot="1" x14ac:dyDescent="0.35">
      <c r="B15" s="92" t="s">
        <v>77</v>
      </c>
      <c r="C15" s="131">
        <v>4.050325870513916</v>
      </c>
      <c r="D15" s="91" t="s">
        <v>76</v>
      </c>
      <c r="P15" s="31"/>
    </row>
    <row r="17" spans="2:16" ht="15" thickBot="1" x14ac:dyDescent="0.35"/>
    <row r="18" spans="2:16" x14ac:dyDescent="0.3">
      <c r="B18" s="159" t="s">
        <v>75</v>
      </c>
      <c r="C18" s="160"/>
      <c r="D18" s="161"/>
    </row>
    <row r="19" spans="2:16" ht="15" thickBot="1" x14ac:dyDescent="0.35">
      <c r="B19" s="90" t="s">
        <v>8</v>
      </c>
      <c r="C19" s="89">
        <f>IF(C45&lt;1,C45,C53)</f>
        <v>0.37665800967959745</v>
      </c>
      <c r="D19" s="88"/>
    </row>
    <row r="20" spans="2:16" x14ac:dyDescent="0.3">
      <c r="K20" s="31"/>
    </row>
    <row r="21" spans="2:16" ht="15" thickBot="1" x14ac:dyDescent="0.35">
      <c r="K21" s="31"/>
    </row>
    <row r="22" spans="2:16" x14ac:dyDescent="0.3">
      <c r="B22" s="159" t="s">
        <v>74</v>
      </c>
      <c r="C22" s="160"/>
      <c r="D22" s="161"/>
      <c r="P22" s="31"/>
    </row>
    <row r="23" spans="2:16" ht="16.8" thickBot="1" x14ac:dyDescent="0.35">
      <c r="B23" s="87" t="s">
        <v>73</v>
      </c>
      <c r="C23" s="125">
        <f>C14*C15^2</f>
        <v>16387.655126794209</v>
      </c>
      <c r="D23" s="86" t="s">
        <v>72</v>
      </c>
      <c r="P23" s="31"/>
    </row>
    <row r="24" spans="2:16" ht="16.2" thickBot="1" x14ac:dyDescent="0.35">
      <c r="B24" s="85"/>
      <c r="P24" s="31"/>
    </row>
    <row r="25" spans="2:16" x14ac:dyDescent="0.3">
      <c r="B25" s="159" t="s">
        <v>71</v>
      </c>
      <c r="C25" s="160"/>
      <c r="D25" s="161"/>
      <c r="P25" s="31"/>
    </row>
    <row r="26" spans="2:16" ht="15" thickBot="1" x14ac:dyDescent="0.35">
      <c r="B26" s="84" t="s">
        <v>70</v>
      </c>
      <c r="C26" s="126">
        <v>1</v>
      </c>
      <c r="D26" s="83"/>
    </row>
    <row r="27" spans="2:16" ht="15" thickBot="1" x14ac:dyDescent="0.35"/>
    <row r="28" spans="2:16" x14ac:dyDescent="0.3">
      <c r="B28" s="153" t="s">
        <v>69</v>
      </c>
      <c r="C28" s="154"/>
      <c r="D28" s="154"/>
      <c r="E28" s="154"/>
      <c r="F28" s="155"/>
    </row>
    <row r="29" spans="2:16" x14ac:dyDescent="0.3">
      <c r="B29" s="62" t="s">
        <v>68</v>
      </c>
      <c r="C29" s="59" t="s">
        <v>67</v>
      </c>
      <c r="D29" s="59" t="s">
        <v>66</v>
      </c>
      <c r="E29" s="82" t="s">
        <v>49</v>
      </c>
      <c r="F29" s="58" t="s">
        <v>65</v>
      </c>
    </row>
    <row r="30" spans="2:16" x14ac:dyDescent="0.3">
      <c r="B30" s="68" t="s">
        <v>61</v>
      </c>
      <c r="C30" s="12">
        <v>0</v>
      </c>
      <c r="D30" s="12">
        <f>-0.000012346*(2*C11+C13)^2+0.02*(2*C11+C13)+2.0563</f>
        <v>8.6195928501933885</v>
      </c>
      <c r="E30" s="81" t="b">
        <f>IF(AND($C$10&lt;D30,$C$10&gt;C30),TRUE,FALSE)</f>
        <v>1</v>
      </c>
      <c r="F30" s="66" t="s">
        <v>64</v>
      </c>
    </row>
    <row r="31" spans="2:16" x14ac:dyDescent="0.3">
      <c r="B31" s="68" t="s">
        <v>60</v>
      </c>
      <c r="C31" s="12">
        <f>D30</f>
        <v>8.6195928501933885</v>
      </c>
      <c r="D31" s="12">
        <f>-0.000011886*(2*C11+C13)^2+0.025262*(2*C11+C13)+3.3601</f>
        <v>12.425333861909404</v>
      </c>
      <c r="E31" s="81" t="b">
        <f>IF(AND($C$10&lt;D31,$C$10&gt;C31),TRUE,FALSE)</f>
        <v>0</v>
      </c>
      <c r="F31" s="66">
        <v>7</v>
      </c>
    </row>
    <row r="32" spans="2:16" x14ac:dyDescent="0.3">
      <c r="B32" s="68" t="s">
        <v>59</v>
      </c>
      <c r="C32" s="12">
        <f>D31</f>
        <v>12.425333861909404</v>
      </c>
      <c r="D32" s="12">
        <f>-0.000015968*(2*C11+C13)^2+0.033583*(2*C11+C13)+4.429</f>
        <v>16.445327063023917</v>
      </c>
      <c r="E32" s="81" t="b">
        <f>IF(AND($C$10&lt;D32,$C$10&gt;C32),TRUE,FALSE)</f>
        <v>0</v>
      </c>
      <c r="F32" s="66">
        <v>4</v>
      </c>
    </row>
    <row r="33" spans="2:8" ht="15" thickBot="1" x14ac:dyDescent="0.35">
      <c r="B33" s="51" t="s">
        <v>58</v>
      </c>
      <c r="C33" s="3">
        <f>D32</f>
        <v>16.445327063023917</v>
      </c>
      <c r="D33" s="3" t="s">
        <v>63</v>
      </c>
      <c r="E33" s="80" t="b">
        <f>IF($C$10&gt;C33,TRUE,FALSE)</f>
        <v>0</v>
      </c>
      <c r="F33" s="49">
        <v>1</v>
      </c>
    </row>
    <row r="34" spans="2:8" ht="15" thickBot="1" x14ac:dyDescent="0.35"/>
    <row r="35" spans="2:8" x14ac:dyDescent="0.3">
      <c r="B35" s="153" t="s">
        <v>62</v>
      </c>
      <c r="C35" s="154"/>
      <c r="D35" s="154"/>
      <c r="E35" s="154"/>
      <c r="F35" s="154"/>
      <c r="G35" s="154"/>
      <c r="H35" s="155"/>
    </row>
    <row r="36" spans="2:8" x14ac:dyDescent="0.3">
      <c r="B36" s="62" t="s">
        <v>55</v>
      </c>
      <c r="C36" s="59" t="s">
        <v>54</v>
      </c>
      <c r="D36" s="61" t="s">
        <v>53</v>
      </c>
      <c r="E36" s="60" t="s">
        <v>52</v>
      </c>
      <c r="F36" s="60" t="s">
        <v>51</v>
      </c>
      <c r="G36" s="59" t="s">
        <v>50</v>
      </c>
      <c r="H36" s="58" t="s">
        <v>49</v>
      </c>
    </row>
    <row r="37" spans="2:8" x14ac:dyDescent="0.3">
      <c r="B37" s="62" t="s">
        <v>61</v>
      </c>
      <c r="C37" s="79">
        <v>60</v>
      </c>
      <c r="D37" s="78">
        <v>762</v>
      </c>
      <c r="E37" s="76">
        <f>446187+(646*(2*C11+C13))+(9.17*10^(-4)*(2*C11+C13)^3)</f>
        <v>829175.29314373911</v>
      </c>
      <c r="F37" s="77">
        <f>0.1*LN((2*C11+C13))-1.3739</f>
        <v>-0.76138790814291146</v>
      </c>
      <c r="G37" s="76">
        <f>E37*((2*C11+C13)/C11)^F37</f>
        <v>43508.0489612694</v>
      </c>
      <c r="H37" s="75" t="b">
        <f>IF(AND($E30=TRUE,AND((2*C11+C13)&gt;$C37,(2*C11+C13)&lt;$D37)),TRUE,FALSE)</f>
        <v>1</v>
      </c>
    </row>
    <row r="38" spans="2:8" x14ac:dyDescent="0.3">
      <c r="B38" s="68" t="s">
        <v>60</v>
      </c>
      <c r="C38" s="1">
        <v>60</v>
      </c>
      <c r="D38" s="67">
        <v>762</v>
      </c>
      <c r="E38" s="13">
        <f>283921+(370*(2*C11+C13))</f>
        <v>453084.99774169922</v>
      </c>
      <c r="F38" s="12">
        <f>0.1106*LN((2*C11+C13))-1.501</f>
        <v>-0.82356162640606012</v>
      </c>
      <c r="G38" s="13">
        <f>E38*((2*C11+C13)/C11)^F38</f>
        <v>18688.477382208592</v>
      </c>
      <c r="H38" s="66" t="b">
        <f>IF(AND($E31=TRUE,AND((2*C11+C13)&gt;$C38,(2*C11+C13)&lt;$D38)),TRUE,FALSE)</f>
        <v>0</v>
      </c>
    </row>
    <row r="39" spans="2:8" x14ac:dyDescent="0.3">
      <c r="B39" s="57" t="s">
        <v>59</v>
      </c>
      <c r="C39" s="56">
        <v>273</v>
      </c>
      <c r="D39" s="55">
        <v>762</v>
      </c>
      <c r="E39" s="53">
        <f>150412+(209*(2*C11+C13))</f>
        <v>245966.79872436525</v>
      </c>
      <c r="F39" s="54">
        <f>0.0815*LN((2*C11+C13))-1.3269</f>
        <v>-0.82770264513647285</v>
      </c>
      <c r="G39" s="53">
        <f>E39*((2*C11+C13)/C11)^F39</f>
        <v>9984.0943006017969</v>
      </c>
      <c r="H39" s="52" t="b">
        <f>IF(AND($E32=TRUE,AND((2*C11+C13)&gt;$C39,(2*C11+C13)&lt;$D39)),TRUE,FALSE)</f>
        <v>0</v>
      </c>
    </row>
    <row r="40" spans="2:8" x14ac:dyDescent="0.3">
      <c r="B40" s="74" t="s">
        <v>59</v>
      </c>
      <c r="C40" s="73">
        <v>60</v>
      </c>
      <c r="D40" s="72">
        <v>219</v>
      </c>
      <c r="E40" s="70">
        <f>13.1-(4.75*10^(-3)*(2*C11+C13))+(0.0000141*(2*C11+C13)^2)</f>
        <v>13.875648894298831</v>
      </c>
      <c r="F40" s="71">
        <f>-0.132+(2.28*10^(-4)*(2*C11+C13))-(3.72*10^(-7)*(2*C11+C13)^2)</f>
        <v>-0.10551824379544925</v>
      </c>
      <c r="G40" s="70">
        <f>EXP(E40*((2*C11+C13)/C11)^F40)</f>
        <v>10122.986889489201</v>
      </c>
      <c r="H40" s="69" t="b">
        <f>IF(AND($E$32=TRUE,AND((2*C11+C13)&gt;$C40,(2*C11+C13)&lt;$D40)),TRUE,FALSE)</f>
        <v>0</v>
      </c>
    </row>
    <row r="41" spans="2:8" x14ac:dyDescent="0.3">
      <c r="B41" s="68" t="s">
        <v>58</v>
      </c>
      <c r="C41" s="1">
        <v>273</v>
      </c>
      <c r="D41" s="67">
        <v>762</v>
      </c>
      <c r="E41" s="13">
        <f>41.21*(2*C11+C13)+49397</f>
        <v>68238.211748474117</v>
      </c>
      <c r="F41" s="12">
        <f>0.0815*LN((2*C11+C13))-1.3842</f>
        <v>-0.88500264513647298</v>
      </c>
      <c r="G41" s="13">
        <f>E41*((2*C11+C13)/C11)^F41</f>
        <v>2218.833427849595</v>
      </c>
      <c r="H41" s="66" t="b">
        <f>IF(AND($E$33=TRUE,AND((2*C11+C13)&gt;$C41,(2*C11+C13)&lt;$D41)),TRUE,FALSE)</f>
        <v>0</v>
      </c>
    </row>
    <row r="42" spans="2:8" ht="15" thickBot="1" x14ac:dyDescent="0.35">
      <c r="B42" s="51" t="s">
        <v>58</v>
      </c>
      <c r="C42" s="6">
        <v>60</v>
      </c>
      <c r="D42" s="50">
        <v>219</v>
      </c>
      <c r="E42" s="4">
        <f>(1.32*10^(-5)*(2*C11+C13)^2)-(4.42*10^(-3)*(2*C11+C13))+12.22</f>
        <v>12.958396241307618</v>
      </c>
      <c r="F42" s="3">
        <f>(2.84*10^(-4)*(2*C11+C13))-(4.62*10^(-7)*(2*C11+C13)^2)-0.164</f>
        <v>-0.13072790923495117</v>
      </c>
      <c r="G42" s="4">
        <f>EXP(E42*((2*C11+C13)/C11)^F42)</f>
        <v>2470.2375806276332</v>
      </c>
      <c r="H42" s="49" t="b">
        <f>IF(AND($E$33=TRUE,AND((2*C11+C13)&gt;$C42,(2*C11+C13)&lt;$D42)),TRUE,FALSE)</f>
        <v>0</v>
      </c>
    </row>
    <row r="43" spans="2:8" ht="15" thickBot="1" x14ac:dyDescent="0.35">
      <c r="B43" s="31"/>
      <c r="C43" s="1"/>
      <c r="D43" s="1"/>
      <c r="E43" s="12"/>
      <c r="F43" s="12"/>
      <c r="G43" s="13"/>
      <c r="H43" s="1"/>
    </row>
    <row r="44" spans="2:8" x14ac:dyDescent="0.3">
      <c r="B44" s="150" t="s">
        <v>57</v>
      </c>
      <c r="C44" s="151"/>
      <c r="D44" s="152"/>
    </row>
    <row r="45" spans="2:8" ht="15" thickBot="1" x14ac:dyDescent="0.35">
      <c r="B45" s="65" t="s">
        <v>8</v>
      </c>
      <c r="C45" s="64" cm="1">
        <f t="array" ref="C45">C23*C26/SUMPRODUCT(G37:G42,--(H37:H42))</f>
        <v>0.37665800967959745</v>
      </c>
      <c r="D45" s="63"/>
    </row>
    <row r="46" spans="2:8" ht="15" thickBot="1" x14ac:dyDescent="0.35"/>
    <row r="47" spans="2:8" x14ac:dyDescent="0.3">
      <c r="B47" s="153" t="s">
        <v>56</v>
      </c>
      <c r="C47" s="154"/>
      <c r="D47" s="154"/>
      <c r="E47" s="154"/>
      <c r="F47" s="154"/>
      <c r="G47" s="154"/>
      <c r="H47" s="155"/>
    </row>
    <row r="48" spans="2:8" x14ac:dyDescent="0.3">
      <c r="B48" s="62" t="s">
        <v>55</v>
      </c>
      <c r="C48" s="59" t="s">
        <v>54</v>
      </c>
      <c r="D48" s="61" t="s">
        <v>53</v>
      </c>
      <c r="E48" s="60" t="s">
        <v>52</v>
      </c>
      <c r="F48" s="60" t="s">
        <v>51</v>
      </c>
      <c r="G48" s="59" t="s">
        <v>50</v>
      </c>
      <c r="H48" s="58" t="s">
        <v>49</v>
      </c>
    </row>
    <row r="49" spans="2:16" x14ac:dyDescent="0.3">
      <c r="B49" s="57" t="s">
        <v>47</v>
      </c>
      <c r="C49" s="56">
        <v>273</v>
      </c>
      <c r="D49" s="55">
        <v>762</v>
      </c>
      <c r="E49" s="54">
        <f>(41.21*(2*C11+C13)+49397)*C12^(0.0001665*(2*C11+C13)+0.84615)</f>
        <v>68238.211748474117</v>
      </c>
      <c r="F49" s="54">
        <f>(0.0815*LN((2*C11+C13)))-1.3842+(0.0191*(C12-1))</f>
        <v>-0.88500264513647298</v>
      </c>
      <c r="G49" s="53">
        <f>E49*((2*C11+C13)/C11)^F49</f>
        <v>2218.833427849595</v>
      </c>
      <c r="H49" s="52" t="b">
        <f>IF(AND((2*C11+C13)&gt;$C49,(2*C11+C13)&lt;$D49),TRUE,FALSE)</f>
        <v>1</v>
      </c>
      <c r="P49" t="s">
        <v>48</v>
      </c>
    </row>
    <row r="50" spans="2:16" ht="15" thickBot="1" x14ac:dyDescent="0.35">
      <c r="B50" s="51" t="s">
        <v>47</v>
      </c>
      <c r="C50" s="6">
        <v>60</v>
      </c>
      <c r="D50" s="50">
        <v>219</v>
      </c>
      <c r="E50" s="3">
        <f>((0.000013175*(2*C11+C13)^2)-(0.0044213*(2*C11+C13))+12.217)*(0.0529*LN(C12)+1)</f>
        <v>12.949576085455078</v>
      </c>
      <c r="F50" s="3">
        <f>((-0.0000004622*(2*C11+C13)^2)+(0.0002835*(2*C11+C13))-0.164)*(-0.1407*LN(C12)+1)</f>
        <v>-0.13099831559878322</v>
      </c>
      <c r="G50" s="4">
        <f>EXP(E50*((2*C11+C13)/C11)^F50)</f>
        <v>2437.1497494790165</v>
      </c>
      <c r="H50" s="49" t="b">
        <f>IF(AND((2*C11+C13)&gt;$C50,(2*C11+C13)&lt;$D50),TRUE,FALSE)</f>
        <v>0</v>
      </c>
    </row>
    <row r="51" spans="2:16" ht="15" thickBot="1" x14ac:dyDescent="0.35">
      <c r="F51" s="1"/>
    </row>
    <row r="52" spans="2:16" x14ac:dyDescent="0.3">
      <c r="B52" s="153" t="s">
        <v>46</v>
      </c>
      <c r="C52" s="154"/>
      <c r="D52" s="155"/>
      <c r="F52" s="1"/>
    </row>
    <row r="53" spans="2:16" ht="15" thickBot="1" x14ac:dyDescent="0.35">
      <c r="B53" s="48" t="s">
        <v>8</v>
      </c>
      <c r="C53" s="47" cm="1">
        <f t="array" ref="C53">C23*C26/SUMPRODUCT(G49:G50,--(H49:H50))</f>
        <v>7.3857076971643032</v>
      </c>
      <c r="D53" s="46"/>
    </row>
  </sheetData>
  <protectedRanges>
    <protectedRange algorithmName="SHA-512" hashValue="qxS+tUOh/33vgWlAjiagUu1Ky5b5ioEzCcL8MNoq123VpyQ7Qg49acl6sUN4OZwZEsLz8LJuXS2YmY8H3489Sw==" saltValue="adNd3/tw8JDDPGMudG47gQ==" spinCount="100000" sqref="G48:G50 G36:G43 B47:F50 B46:D46 B28:F43 G34 J44:L48 J36:L38 E44:G46 H36:I48 F51:G52" name="Intermediate Calculations"/>
  </protectedRanges>
  <mergeCells count="9">
    <mergeCell ref="B44:D44"/>
    <mergeCell ref="B47:H47"/>
    <mergeCell ref="B52:D52"/>
    <mergeCell ref="B9:D9"/>
    <mergeCell ref="B18:D18"/>
    <mergeCell ref="B22:D22"/>
    <mergeCell ref="B25:D25"/>
    <mergeCell ref="B28:F28"/>
    <mergeCell ref="B35:H35"/>
  </mergeCells>
  <conditionalFormatting sqref="B53:D53 B48:H50 B47 B52">
    <cfRule type="expression" dxfId="27" priority="8">
      <formula>$C$45&lt;1</formula>
    </cfRule>
  </conditionalFormatting>
  <conditionalFormatting sqref="B53:D53">
    <cfRule type="expression" dxfId="26" priority="7">
      <formula>OR($C$45=1,$C$45&gt;1)</formula>
    </cfRule>
  </conditionalFormatting>
  <conditionalFormatting sqref="B30:F30 D31:D32">
    <cfRule type="expression" dxfId="25" priority="4">
      <formula>$E30="True"</formula>
    </cfRule>
  </conditionalFormatting>
  <conditionalFormatting sqref="B30:F33">
    <cfRule type="expression" dxfId="24" priority="5">
      <formula>$E30=TRUE</formula>
    </cfRule>
  </conditionalFormatting>
  <conditionalFormatting sqref="B37:G38">
    <cfRule type="expression" dxfId="23" priority="9">
      <formula>$E30="True"</formula>
    </cfRule>
  </conditionalFormatting>
  <conditionalFormatting sqref="B39:G40">
    <cfRule type="expression" dxfId="22" priority="10">
      <formula>AND($E$32="True",AND(D_ext&gt;$C39,D_ext&lt;$D39))</formula>
    </cfRule>
  </conditionalFormatting>
  <conditionalFormatting sqref="B41:G43">
    <cfRule type="expression" dxfId="21" priority="11">
      <formula>AND($E$33="True",AND(D_ext&gt;$C41,D_ext&lt;$D41))</formula>
    </cfRule>
  </conditionalFormatting>
  <conditionalFormatting sqref="B49:G50">
    <cfRule type="expression" dxfId="20" priority="6">
      <formula>$H49="True"</formula>
    </cfRule>
  </conditionalFormatting>
  <conditionalFormatting sqref="B37:H42">
    <cfRule type="expression" dxfId="19" priority="1">
      <formula>$H37=TRUE</formula>
    </cfRule>
  </conditionalFormatting>
  <conditionalFormatting sqref="G34">
    <cfRule type="containsText" dxfId="18" priority="2" operator="containsText" text="Yes">
      <formula>NOT(ISERROR(SEARCH("Yes",G34)))</formula>
    </cfRule>
  </conditionalFormatting>
  <conditionalFormatting sqref="H49:H50">
    <cfRule type="containsText" dxfId="17" priority="3" operator="containsText" text="True">
      <formula>NOT(ISERROR(SEARCH("True",H49)))</formula>
    </cfRule>
  </conditionalFormatting>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0FA6E-4B11-4750-98BC-75FA9357AF16}">
  <dimension ref="B2:P53"/>
  <sheetViews>
    <sheetView zoomScaleNormal="100" workbookViewId="0">
      <selection activeCell="J21" sqref="J21"/>
    </sheetView>
  </sheetViews>
  <sheetFormatPr defaultRowHeight="14.4" x14ac:dyDescent="0.3"/>
  <cols>
    <col min="2" max="2" width="14.44140625" customWidth="1"/>
    <col min="3" max="3" width="15.109375" bestFit="1" customWidth="1"/>
    <col min="4" max="4" width="15.44140625" bestFit="1" customWidth="1"/>
    <col min="5" max="5" width="8.5546875" bestFit="1" customWidth="1"/>
    <col min="6" max="6" width="10.88671875" customWidth="1"/>
    <col min="8" max="8" width="9" customWidth="1"/>
    <col min="9" max="9" width="14.44140625" bestFit="1" customWidth="1"/>
    <col min="10" max="10" width="15" customWidth="1"/>
    <col min="11" max="11" width="10.44140625" bestFit="1" customWidth="1"/>
    <col min="12" max="12" width="9.88671875" customWidth="1"/>
    <col min="13" max="13" width="11.88671875" customWidth="1"/>
    <col min="14" max="14" width="9.6640625" customWidth="1"/>
    <col min="16" max="16" width="12.109375" bestFit="1" customWidth="1"/>
    <col min="19" max="19" width="25.5546875" customWidth="1"/>
  </cols>
  <sheetData>
    <row r="2" spans="2:16" x14ac:dyDescent="0.3">
      <c r="B2" s="45" t="s">
        <v>86</v>
      </c>
    </row>
    <row r="3" spans="2:16" ht="15" thickBot="1" x14ac:dyDescent="0.35"/>
    <row r="4" spans="2:16" x14ac:dyDescent="0.3">
      <c r="B4" s="44" t="s">
        <v>85</v>
      </c>
      <c r="C4" s="43"/>
      <c r="D4" s="43"/>
      <c r="E4" s="43"/>
      <c r="F4" s="43"/>
      <c r="G4" s="43"/>
      <c r="H4" s="43"/>
      <c r="I4" s="43"/>
      <c r="J4" s="43"/>
      <c r="K4" s="43"/>
      <c r="L4" s="43"/>
      <c r="M4" s="43"/>
      <c r="N4" s="103"/>
    </row>
    <row r="5" spans="2:16" x14ac:dyDescent="0.3">
      <c r="B5" s="42" t="s">
        <v>43</v>
      </c>
      <c r="C5" s="41"/>
      <c r="D5" s="41"/>
      <c r="E5" s="41"/>
      <c r="F5" s="41"/>
      <c r="G5" s="41"/>
      <c r="H5" s="41"/>
      <c r="I5" s="41"/>
      <c r="J5" s="41"/>
      <c r="K5" s="41"/>
      <c r="L5" s="41"/>
      <c r="M5" s="41"/>
      <c r="N5" s="102"/>
    </row>
    <row r="6" spans="2:16" ht="15" thickBot="1" x14ac:dyDescent="0.35">
      <c r="B6" s="40" t="s">
        <v>42</v>
      </c>
      <c r="C6" s="39"/>
      <c r="D6" s="39"/>
      <c r="E6" s="39"/>
      <c r="F6" s="39"/>
      <c r="G6" s="39"/>
      <c r="H6" s="39"/>
      <c r="I6" s="39"/>
      <c r="J6" s="39"/>
      <c r="K6" s="39"/>
      <c r="L6" s="39"/>
      <c r="M6" s="39"/>
      <c r="N6" s="101"/>
    </row>
    <row r="8" spans="2:16" ht="15" thickBot="1" x14ac:dyDescent="0.35"/>
    <row r="9" spans="2:16" x14ac:dyDescent="0.3">
      <c r="B9" s="156" t="s">
        <v>84</v>
      </c>
      <c r="C9" s="157"/>
      <c r="D9" s="158"/>
      <c r="F9" s="100" t="s">
        <v>40</v>
      </c>
      <c r="P9" s="31"/>
    </row>
    <row r="10" spans="2:16" x14ac:dyDescent="0.3">
      <c r="B10" s="99" t="s">
        <v>83</v>
      </c>
      <c r="C10" s="127">
        <v>1</v>
      </c>
      <c r="D10" s="98" t="s">
        <v>6</v>
      </c>
      <c r="F10" s="35" t="s">
        <v>39</v>
      </c>
      <c r="P10" s="31"/>
    </row>
    <row r="11" spans="2:16" x14ac:dyDescent="0.3">
      <c r="B11" s="97" t="s">
        <v>25</v>
      </c>
      <c r="C11" s="128">
        <v>7.1120000000000001</v>
      </c>
      <c r="D11" s="96" t="s">
        <v>4</v>
      </c>
      <c r="F11" s="34" t="s">
        <v>82</v>
      </c>
      <c r="P11" s="31"/>
    </row>
    <row r="12" spans="2:16" ht="15" thickBot="1" x14ac:dyDescent="0.35">
      <c r="B12" s="97" t="s">
        <v>81</v>
      </c>
      <c r="C12" s="128">
        <v>1</v>
      </c>
      <c r="D12" s="96" t="s">
        <v>80</v>
      </c>
      <c r="F12" s="33" t="s">
        <v>37</v>
      </c>
      <c r="P12" s="31"/>
    </row>
    <row r="13" spans="2:16" x14ac:dyDescent="0.3">
      <c r="B13" s="95" t="s">
        <v>27</v>
      </c>
      <c r="C13" s="130">
        <v>154.05099487304688</v>
      </c>
      <c r="D13" s="93" t="s">
        <v>4</v>
      </c>
      <c r="P13" s="31"/>
    </row>
    <row r="14" spans="2:16" ht="16.2" x14ac:dyDescent="0.3">
      <c r="B14" s="94" t="s">
        <v>79</v>
      </c>
      <c r="C14" s="130">
        <v>1.3452310562133789</v>
      </c>
      <c r="D14" s="93" t="s">
        <v>78</v>
      </c>
      <c r="P14" s="31"/>
    </row>
    <row r="15" spans="2:16" x14ac:dyDescent="0.3">
      <c r="B15" s="95" t="s">
        <v>77</v>
      </c>
      <c r="C15" s="130">
        <v>348.19827270507813</v>
      </c>
      <c r="D15" s="93" t="s">
        <v>113</v>
      </c>
      <c r="P15" s="31"/>
    </row>
    <row r="16" spans="2:16" ht="15" thickBot="1" x14ac:dyDescent="0.35">
      <c r="B16" s="124" t="s">
        <v>111</v>
      </c>
      <c r="C16" s="131">
        <v>1.7523971109767444E-5</v>
      </c>
      <c r="D16" s="91" t="s">
        <v>112</v>
      </c>
      <c r="P16" s="31"/>
    </row>
    <row r="17" spans="2:16" ht="15" thickBot="1" x14ac:dyDescent="0.35"/>
    <row r="18" spans="2:16" x14ac:dyDescent="0.3">
      <c r="B18" s="159" t="s">
        <v>75</v>
      </c>
      <c r="C18" s="160"/>
      <c r="D18" s="161"/>
    </row>
    <row r="19" spans="2:16" ht="15" thickBot="1" x14ac:dyDescent="0.35">
      <c r="B19" s="90" t="s">
        <v>8</v>
      </c>
      <c r="C19" s="89">
        <f>IF(C45&lt;1,C45,C53)</f>
        <v>0.58905545442923535</v>
      </c>
      <c r="D19" s="88"/>
    </row>
    <row r="20" spans="2:16" x14ac:dyDescent="0.3">
      <c r="K20" s="31"/>
    </row>
    <row r="21" spans="2:16" ht="15" thickBot="1" x14ac:dyDescent="0.35">
      <c r="K21" s="31"/>
    </row>
    <row r="22" spans="2:16" x14ac:dyDescent="0.3">
      <c r="B22" s="159" t="s">
        <v>74</v>
      </c>
      <c r="C22" s="160"/>
      <c r="D22" s="161"/>
      <c r="P22" s="31"/>
    </row>
    <row r="23" spans="2:16" ht="16.8" thickBot="1" x14ac:dyDescent="0.35">
      <c r="B23" s="87" t="s">
        <v>73</v>
      </c>
      <c r="C23" s="125">
        <f>C14*C15^2</f>
        <v>163098.55364540403</v>
      </c>
      <c r="D23" s="86" t="s">
        <v>72</v>
      </c>
      <c r="P23" s="31"/>
    </row>
    <row r="24" spans="2:16" ht="16.2" thickBot="1" x14ac:dyDescent="0.35">
      <c r="B24" s="85"/>
      <c r="P24" s="31"/>
    </row>
    <row r="25" spans="2:16" x14ac:dyDescent="0.3">
      <c r="B25" s="159" t="s">
        <v>71</v>
      </c>
      <c r="C25" s="160"/>
      <c r="D25" s="161"/>
      <c r="P25" s="31"/>
    </row>
    <row r="26" spans="2:16" ht="15" thickBot="1" x14ac:dyDescent="0.35">
      <c r="B26" s="84" t="s">
        <v>70</v>
      </c>
      <c r="C26" s="126">
        <f>(C16/10^-3)^0.5</f>
        <v>0.13237813682692262</v>
      </c>
      <c r="D26" s="83"/>
    </row>
    <row r="27" spans="2:16" ht="15" thickBot="1" x14ac:dyDescent="0.35"/>
    <row r="28" spans="2:16" x14ac:dyDescent="0.3">
      <c r="B28" s="153" t="s">
        <v>69</v>
      </c>
      <c r="C28" s="154"/>
      <c r="D28" s="154"/>
      <c r="E28" s="154"/>
      <c r="F28" s="155"/>
    </row>
    <row r="29" spans="2:16" x14ac:dyDescent="0.3">
      <c r="B29" s="62" t="s">
        <v>68</v>
      </c>
      <c r="C29" s="59" t="s">
        <v>67</v>
      </c>
      <c r="D29" s="59" t="s">
        <v>66</v>
      </c>
      <c r="E29" s="82" t="s">
        <v>49</v>
      </c>
      <c r="F29" s="58" t="s">
        <v>65</v>
      </c>
    </row>
    <row r="30" spans="2:16" x14ac:dyDescent="0.3">
      <c r="B30" s="68" t="s">
        <v>61</v>
      </c>
      <c r="C30" s="12">
        <v>0</v>
      </c>
      <c r="D30" s="12">
        <f>-0.000012346*(2*C11+C13)^2+0.02*(2*C11+C13)+2.0563</f>
        <v>5.0722047106974149</v>
      </c>
      <c r="E30" s="81" t="b">
        <f>IF(AND($C$10&lt;D30,$C$10&gt;C30),TRUE,FALSE)</f>
        <v>1</v>
      </c>
      <c r="F30" s="66" t="s">
        <v>64</v>
      </c>
    </row>
    <row r="31" spans="2:16" x14ac:dyDescent="0.3">
      <c r="B31" s="68" t="s">
        <v>60</v>
      </c>
      <c r="C31" s="12">
        <f>D30</f>
        <v>5.0722047106974149</v>
      </c>
      <c r="D31" s="12">
        <f>-0.000011886*(2*C11+C13)^2+0.025262*(2*C11+C13)+3.3601</f>
        <v>7.2744933117131687</v>
      </c>
      <c r="E31" s="81" t="b">
        <f>IF(AND($C$10&lt;D31,$C$10&gt;C31),TRUE,FALSE)</f>
        <v>0</v>
      </c>
      <c r="F31" s="66">
        <v>7</v>
      </c>
    </row>
    <row r="32" spans="2:16" x14ac:dyDescent="0.3">
      <c r="B32" s="68" t="s">
        <v>59</v>
      </c>
      <c r="C32" s="12">
        <f>D31</f>
        <v>7.2744933117131687</v>
      </c>
      <c r="D32" s="12">
        <f>-0.000015968*(2*C11+C13)^2+0.033583*(2*C11+C13)+4.429</f>
        <v>9.628021697593935</v>
      </c>
      <c r="E32" s="81" t="b">
        <f>IF(AND($C$10&lt;D32,$C$10&gt;C32),TRUE,FALSE)</f>
        <v>0</v>
      </c>
      <c r="F32" s="66">
        <v>4</v>
      </c>
    </row>
    <row r="33" spans="2:8" ht="15" thickBot="1" x14ac:dyDescent="0.35">
      <c r="B33" s="51" t="s">
        <v>58</v>
      </c>
      <c r="C33" s="3">
        <f>D32</f>
        <v>9.628021697593935</v>
      </c>
      <c r="D33" s="3" t="s">
        <v>63</v>
      </c>
      <c r="E33" s="80" t="b">
        <f>IF($C$10&gt;C33,TRUE,FALSE)</f>
        <v>0</v>
      </c>
      <c r="F33" s="49">
        <v>1</v>
      </c>
    </row>
    <row r="34" spans="2:8" ht="15" thickBot="1" x14ac:dyDescent="0.35"/>
    <row r="35" spans="2:8" x14ac:dyDescent="0.3">
      <c r="B35" s="153" t="s">
        <v>62</v>
      </c>
      <c r="C35" s="154"/>
      <c r="D35" s="154"/>
      <c r="E35" s="154"/>
      <c r="F35" s="154"/>
      <c r="G35" s="154"/>
      <c r="H35" s="155"/>
    </row>
    <row r="36" spans="2:8" x14ac:dyDescent="0.3">
      <c r="B36" s="62" t="s">
        <v>55</v>
      </c>
      <c r="C36" s="59" t="s">
        <v>54</v>
      </c>
      <c r="D36" s="61" t="s">
        <v>53</v>
      </c>
      <c r="E36" s="60" t="s">
        <v>52</v>
      </c>
      <c r="F36" s="60" t="s">
        <v>51</v>
      </c>
      <c r="G36" s="59" t="s">
        <v>50</v>
      </c>
      <c r="H36" s="58" t="s">
        <v>49</v>
      </c>
    </row>
    <row r="37" spans="2:8" x14ac:dyDescent="0.3">
      <c r="B37" s="62" t="s">
        <v>61</v>
      </c>
      <c r="C37" s="79">
        <v>60</v>
      </c>
      <c r="D37" s="78">
        <v>762</v>
      </c>
      <c r="E37" s="76">
        <f>446187+(646*(2*C11+C13))+(9.17*10^(-4)*(2*C11+C13)^3)</f>
        <v>559262.1099647315</v>
      </c>
      <c r="F37" s="77">
        <f>0.1*LN((2*C11+C13))-1.3739</f>
        <v>-0.86134004845709278</v>
      </c>
      <c r="G37" s="76">
        <f>E37*((2*C11+C13)/C11)^F37</f>
        <v>36653.056156936436</v>
      </c>
      <c r="H37" s="75" t="b">
        <f>IF(AND($E30=TRUE,AND((2*C11+C13)&gt;$C37,(2*C11+C13)&lt;$D37)),TRUE,FALSE)</f>
        <v>1</v>
      </c>
    </row>
    <row r="38" spans="2:8" x14ac:dyDescent="0.3">
      <c r="B38" s="68" t="s">
        <v>60</v>
      </c>
      <c r="C38" s="1">
        <v>60</v>
      </c>
      <c r="D38" s="67">
        <v>762</v>
      </c>
      <c r="E38" s="13">
        <f>283921+(370*(2*C11+C13))</f>
        <v>346182.74810302735</v>
      </c>
      <c r="F38" s="12">
        <f>0.1106*LN((2*C11+C13))-1.501</f>
        <v>-0.93410869359354465</v>
      </c>
      <c r="G38" s="13">
        <f>E38*((2*C11+C13)/C11)^F38</f>
        <v>18022.460087799958</v>
      </c>
      <c r="H38" s="66" t="b">
        <f>IF(AND($E31=TRUE,AND((2*C11+C13)&gt;$C38,(2*C11+C13)&lt;$D38)),TRUE,FALSE)</f>
        <v>0</v>
      </c>
    </row>
    <row r="39" spans="2:8" x14ac:dyDescent="0.3">
      <c r="B39" s="57" t="s">
        <v>59</v>
      </c>
      <c r="C39" s="56">
        <v>273</v>
      </c>
      <c r="D39" s="55">
        <v>762</v>
      </c>
      <c r="E39" s="53">
        <f>150412+(209*(2*C11+C13))</f>
        <v>185581.47392846679</v>
      </c>
      <c r="F39" s="54">
        <f>0.0815*LN((2*C11+C13))-1.3269</f>
        <v>-0.90916363949253065</v>
      </c>
      <c r="G39" s="53">
        <f>E39*((2*C11+C13)/C11)^F39</f>
        <v>10454.865971893832</v>
      </c>
      <c r="H39" s="52" t="b">
        <f>IF(AND($E32=TRUE,AND((2*C11+C13)&gt;$C39,(2*C11+C13)&lt;$D39)),TRUE,FALSE)</f>
        <v>0</v>
      </c>
    </row>
    <row r="40" spans="2:8" x14ac:dyDescent="0.3">
      <c r="B40" s="74" t="s">
        <v>59</v>
      </c>
      <c r="C40" s="73">
        <v>60</v>
      </c>
      <c r="D40" s="72">
        <v>219</v>
      </c>
      <c r="E40" s="70">
        <f>13.1-(4.75*10^(-3)*(2*C11+C13))+(0.0000141*(2*C11+C13)^2)</f>
        <v>12.699956056336315</v>
      </c>
      <c r="F40" s="71">
        <f>-0.132+(2.28*10^(-4)*(2*C11+C13))-(3.72*10^(-7)*(2*C11+C13)^2)</f>
        <v>-0.10416702945956824</v>
      </c>
      <c r="G40" s="70">
        <f>EXP(E40*((2*C11+C13)/C11)^F40)</f>
        <v>9267.5050314118944</v>
      </c>
      <c r="H40" s="69" t="b">
        <f>IF(AND($E$32=TRUE,AND((2*C11+C13)&gt;$C40,(2*C11+C13)&lt;$D40)),TRUE,FALSE)</f>
        <v>0</v>
      </c>
    </row>
    <row r="41" spans="2:8" x14ac:dyDescent="0.3">
      <c r="B41" s="68" t="s">
        <v>58</v>
      </c>
      <c r="C41" s="1">
        <v>273</v>
      </c>
      <c r="D41" s="67">
        <v>762</v>
      </c>
      <c r="E41" s="13">
        <f>41.21*(2*C11+C13)+49397</f>
        <v>56331.612538718262</v>
      </c>
      <c r="F41" s="12">
        <f>0.0815*LN((2*C11+C13))-1.3842</f>
        <v>-0.96646363949253078</v>
      </c>
      <c r="G41" s="13">
        <f>E41*((2*C11+C13)/C11)^F41</f>
        <v>2647.3065753158558</v>
      </c>
      <c r="H41" s="66" t="b">
        <f>IF(AND($E$33=TRUE,AND((2*C11+C13)&gt;$C41,(2*C11+C13)&lt;$D41)),TRUE,FALSE)</f>
        <v>0</v>
      </c>
    </row>
    <row r="42" spans="2:8" ht="15" thickBot="1" x14ac:dyDescent="0.35">
      <c r="B42" s="51" t="s">
        <v>58</v>
      </c>
      <c r="C42" s="6">
        <v>60</v>
      </c>
      <c r="D42" s="50">
        <v>219</v>
      </c>
      <c r="E42" s="4">
        <f>(1.32*10^(-5)*(2*C11+C13)^2)-(4.42*10^(-3)*(2*C11+C13))+12.22</f>
        <v>11.85000197813485</v>
      </c>
      <c r="F42" s="3">
        <f>(2.84*10^(-4)*(2*C11+C13))-(4.62*10^(-7)*(2*C11+C13)^2)-0.164</f>
        <v>-0.12929211239763477</v>
      </c>
      <c r="G42" s="4">
        <f>EXP(E42*((2*C11+C13)/C11)^F42)</f>
        <v>2621.9682368671024</v>
      </c>
      <c r="H42" s="49" t="b">
        <f>IF(AND($E$33=TRUE,AND((2*C11+C13)&gt;$C42,(2*C11+C13)&lt;$D42)),TRUE,FALSE)</f>
        <v>0</v>
      </c>
    </row>
    <row r="43" spans="2:8" ht="15" thickBot="1" x14ac:dyDescent="0.35">
      <c r="B43" s="31"/>
      <c r="C43" s="1"/>
      <c r="D43" s="1"/>
      <c r="E43" s="12"/>
      <c r="F43" s="12"/>
      <c r="G43" s="13"/>
      <c r="H43" s="1"/>
    </row>
    <row r="44" spans="2:8" x14ac:dyDescent="0.3">
      <c r="B44" s="150" t="s">
        <v>57</v>
      </c>
      <c r="C44" s="151"/>
      <c r="D44" s="152"/>
    </row>
    <row r="45" spans="2:8" ht="15" thickBot="1" x14ac:dyDescent="0.35">
      <c r="B45" s="65" t="s">
        <v>8</v>
      </c>
      <c r="C45" s="64" cm="1">
        <f t="array" ref="C45">C23*C26/SUMPRODUCT(G37:G42,--(H37:H42))</f>
        <v>0.58905545442923535</v>
      </c>
      <c r="D45" s="63"/>
    </row>
    <row r="46" spans="2:8" ht="15" thickBot="1" x14ac:dyDescent="0.35"/>
    <row r="47" spans="2:8" x14ac:dyDescent="0.3">
      <c r="B47" s="153" t="s">
        <v>56</v>
      </c>
      <c r="C47" s="154"/>
      <c r="D47" s="154"/>
      <c r="E47" s="154"/>
      <c r="F47" s="154"/>
      <c r="G47" s="154"/>
      <c r="H47" s="155"/>
    </row>
    <row r="48" spans="2:8" x14ac:dyDescent="0.3">
      <c r="B48" s="62" t="s">
        <v>55</v>
      </c>
      <c r="C48" s="59" t="s">
        <v>54</v>
      </c>
      <c r="D48" s="61" t="s">
        <v>53</v>
      </c>
      <c r="E48" s="60" t="s">
        <v>52</v>
      </c>
      <c r="F48" s="60" t="s">
        <v>51</v>
      </c>
      <c r="G48" s="59" t="s">
        <v>50</v>
      </c>
      <c r="H48" s="58" t="s">
        <v>49</v>
      </c>
    </row>
    <row r="49" spans="2:16" x14ac:dyDescent="0.3">
      <c r="B49" s="57" t="s">
        <v>47</v>
      </c>
      <c r="C49" s="56">
        <v>273</v>
      </c>
      <c r="D49" s="55">
        <v>762</v>
      </c>
      <c r="E49" s="54">
        <f>(41.21*(2*C11+C13)+49397)*C12^(0.0001665*(2*C11+C13)+0.84615)</f>
        <v>56331.612538718262</v>
      </c>
      <c r="F49" s="54">
        <f>(0.0815*LN((2*C11+C13)))-1.3842+(0.0191*(C12-1))</f>
        <v>-0.96646363949253078</v>
      </c>
      <c r="G49" s="53">
        <f>E49*((2*C11+C13)/C11)^F49</f>
        <v>2647.3065753158558</v>
      </c>
      <c r="H49" s="52" t="b">
        <f>IF(AND((2*C11+C13)&gt;$C49,(2*C11+C13)&lt;$D49),TRUE,FALSE)</f>
        <v>0</v>
      </c>
      <c r="P49" t="s">
        <v>48</v>
      </c>
    </row>
    <row r="50" spans="2:16" ht="15" thickBot="1" x14ac:dyDescent="0.35">
      <c r="B50" s="51" t="s">
        <v>47</v>
      </c>
      <c r="C50" s="6">
        <v>60</v>
      </c>
      <c r="D50" s="50">
        <v>219</v>
      </c>
      <c r="E50" s="3">
        <f>((0.000013175*(2*C11+C13)^2)-(0.0044213*(2*C11+C13))+12.217)*(0.0529*LN(C12)+1)</f>
        <v>11.846075308794026</v>
      </c>
      <c r="F50" s="3">
        <f>((-0.0000004622*(2*C11+C13)^2)+(0.0002835*(2*C11+C13))-0.164)*(-0.1407*LN(C12)+1)</f>
        <v>-0.12938191318985121</v>
      </c>
      <c r="G50" s="4">
        <f>EXP(E50*((2*C11+C13)/C11)^F50)</f>
        <v>2609.2986964050938</v>
      </c>
      <c r="H50" s="49" t="b">
        <f>IF(AND((2*C11+C13)&gt;$C50,(2*C11+C13)&lt;$D50),TRUE,FALSE)</f>
        <v>1</v>
      </c>
    </row>
    <row r="51" spans="2:16" ht="15" thickBot="1" x14ac:dyDescent="0.35">
      <c r="F51" s="1"/>
    </row>
    <row r="52" spans="2:16" x14ac:dyDescent="0.3">
      <c r="B52" s="153" t="s">
        <v>46</v>
      </c>
      <c r="C52" s="154"/>
      <c r="D52" s="155"/>
      <c r="F52" s="1"/>
    </row>
    <row r="53" spans="2:16" ht="15" thickBot="1" x14ac:dyDescent="0.35">
      <c r="B53" s="48" t="s">
        <v>8</v>
      </c>
      <c r="C53" s="47" cm="1">
        <f t="array" ref="C53">C23*C26/SUMPRODUCT(G49:G50,--(H49:H50))</f>
        <v>8.2745155548847595</v>
      </c>
      <c r="D53" s="46"/>
    </row>
  </sheetData>
  <protectedRanges>
    <protectedRange algorithmName="SHA-512" hashValue="qxS+tUOh/33vgWlAjiagUu1Ky5b5ioEzCcL8MNoq123VpyQ7Qg49acl6sUN4OZwZEsLz8LJuXS2YmY8H3489Sw==" saltValue="adNd3/tw8JDDPGMudG47gQ==" spinCount="100000" sqref="G48:G50 G36:G43 B47:F50 B46:D46 B28:F43 G34 J44:L48 J36:L38 E44:G46 H36:I48 F51:G52" name="Intermediate Calculations"/>
  </protectedRanges>
  <mergeCells count="9">
    <mergeCell ref="B44:D44"/>
    <mergeCell ref="B47:H47"/>
    <mergeCell ref="B52:D52"/>
    <mergeCell ref="B9:D9"/>
    <mergeCell ref="B18:D18"/>
    <mergeCell ref="B22:D22"/>
    <mergeCell ref="B25:D25"/>
    <mergeCell ref="B28:F28"/>
    <mergeCell ref="B35:H35"/>
  </mergeCells>
  <conditionalFormatting sqref="B53:D53 B48:H50 B47 B52">
    <cfRule type="expression" dxfId="16" priority="8">
      <formula>$C$45&lt;1</formula>
    </cfRule>
  </conditionalFormatting>
  <conditionalFormatting sqref="B53:D53">
    <cfRule type="expression" dxfId="15" priority="7">
      <formula>OR($C$45=1,$C$45&gt;1)</formula>
    </cfRule>
  </conditionalFormatting>
  <conditionalFormatting sqref="B30:F30 D31:D32">
    <cfRule type="expression" dxfId="14" priority="4">
      <formula>$E30="True"</formula>
    </cfRule>
  </conditionalFormatting>
  <conditionalFormatting sqref="B30:F33">
    <cfRule type="expression" dxfId="13" priority="5">
      <formula>$E30=TRUE</formula>
    </cfRule>
  </conditionalFormatting>
  <conditionalFormatting sqref="B37:G38">
    <cfRule type="expression" dxfId="12" priority="9">
      <formula>$E30="True"</formula>
    </cfRule>
  </conditionalFormatting>
  <conditionalFormatting sqref="B39:G40">
    <cfRule type="expression" dxfId="11" priority="10">
      <formula>AND($E$32="True",AND(D_ext&gt;$C39,D_ext&lt;$D39))</formula>
    </cfRule>
  </conditionalFormatting>
  <conditionalFormatting sqref="B41:G43">
    <cfRule type="expression" dxfId="10" priority="11">
      <formula>AND($E$33="True",AND(D_ext&gt;$C41,D_ext&lt;$D41))</formula>
    </cfRule>
  </conditionalFormatting>
  <conditionalFormatting sqref="B49:G50">
    <cfRule type="expression" dxfId="9" priority="6">
      <formula>$H49="True"</formula>
    </cfRule>
  </conditionalFormatting>
  <conditionalFormatting sqref="B37:H42">
    <cfRule type="expression" dxfId="8" priority="1">
      <formula>$H37=TRUE</formula>
    </cfRule>
  </conditionalFormatting>
  <conditionalFormatting sqref="G34">
    <cfRule type="containsText" dxfId="7" priority="2" operator="containsText" text="Yes">
      <formula>NOT(ISERROR(SEARCH("Yes",G34)))</formula>
    </cfRule>
  </conditionalFormatting>
  <conditionalFormatting sqref="H49:H50">
    <cfRule type="containsText" dxfId="6" priority="3" operator="containsText" text="True">
      <formula>NOT(ISERROR(SEARCH("True",H49)))</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310EE-D889-4F66-B16A-BBB0CE7E7D1A}">
  <dimension ref="B2:T58"/>
  <sheetViews>
    <sheetView workbookViewId="0">
      <selection activeCell="P11" sqref="P11"/>
    </sheetView>
  </sheetViews>
  <sheetFormatPr defaultRowHeight="14.4" x14ac:dyDescent="0.3"/>
  <cols>
    <col min="2" max="2" width="29.44140625" customWidth="1"/>
    <col min="3" max="3" width="8.6640625" customWidth="1"/>
    <col min="5" max="5" width="11.109375" customWidth="1"/>
    <col min="7" max="7" width="12.5546875" customWidth="1"/>
    <col min="10" max="10" width="11.88671875" customWidth="1"/>
    <col min="11" max="12" width="12" customWidth="1"/>
    <col min="13" max="13" width="11.44140625" customWidth="1"/>
    <col min="14" max="14" width="12.5546875" customWidth="1"/>
    <col min="15" max="18" width="9.109375" customWidth="1"/>
  </cols>
  <sheetData>
    <row r="2" spans="2:20" x14ac:dyDescent="0.3">
      <c r="B2" s="45" t="s">
        <v>110</v>
      </c>
    </row>
    <row r="3" spans="2:20" ht="15" thickBot="1" x14ac:dyDescent="0.35"/>
    <row r="4" spans="2:20" x14ac:dyDescent="0.3">
      <c r="B4" s="44" t="s">
        <v>109</v>
      </c>
      <c r="C4" s="43"/>
      <c r="D4" s="43"/>
      <c r="E4" s="43"/>
      <c r="F4" s="43"/>
      <c r="G4" s="43"/>
      <c r="H4" s="43"/>
      <c r="I4" s="43"/>
      <c r="J4" s="43"/>
      <c r="K4" s="43"/>
      <c r="L4" s="43"/>
      <c r="M4" s="43"/>
      <c r="N4" s="43"/>
      <c r="O4" s="43"/>
      <c r="P4" s="103"/>
    </row>
    <row r="5" spans="2:20" x14ac:dyDescent="0.3">
      <c r="B5" s="42" t="s">
        <v>43</v>
      </c>
      <c r="C5" s="41"/>
      <c r="D5" s="41"/>
      <c r="E5" s="41"/>
      <c r="F5" s="41"/>
      <c r="G5" s="41"/>
      <c r="H5" s="41"/>
      <c r="I5" s="41"/>
      <c r="J5" s="41"/>
      <c r="K5" s="41"/>
      <c r="L5" s="41"/>
      <c r="M5" s="41"/>
      <c r="N5" s="41"/>
      <c r="O5" s="41"/>
      <c r="P5" s="102"/>
    </row>
    <row r="6" spans="2:20" ht="15" thickBot="1" x14ac:dyDescent="0.35">
      <c r="B6" s="40" t="s">
        <v>42</v>
      </c>
      <c r="C6" s="39"/>
      <c r="D6" s="39"/>
      <c r="E6" s="39"/>
      <c r="F6" s="39"/>
      <c r="G6" s="39"/>
      <c r="H6" s="39"/>
      <c r="I6" s="39"/>
      <c r="J6" s="39"/>
      <c r="K6" s="39"/>
      <c r="L6" s="39"/>
      <c r="M6" s="39"/>
      <c r="N6" s="39"/>
      <c r="O6" s="39"/>
      <c r="P6" s="101"/>
    </row>
    <row r="8" spans="2:20" ht="15" thickBot="1" x14ac:dyDescent="0.35"/>
    <row r="9" spans="2:20" ht="15" thickBot="1" x14ac:dyDescent="0.35">
      <c r="B9" s="115" t="s">
        <v>108</v>
      </c>
      <c r="C9" s="116"/>
      <c r="D9" s="37">
        <f>MAX(R:R)</f>
        <v>0.2</v>
      </c>
    </row>
    <row r="10" spans="2:20" ht="15" thickBot="1" x14ac:dyDescent="0.35">
      <c r="B10" s="36"/>
      <c r="D10" s="1"/>
      <c r="T10" s="31"/>
    </row>
    <row r="11" spans="2:20" ht="15" thickBot="1" x14ac:dyDescent="0.35">
      <c r="B11" s="115" t="s">
        <v>107</v>
      </c>
      <c r="C11" s="114"/>
      <c r="D11" s="113"/>
      <c r="E11" s="112"/>
      <c r="G11" s="32" t="s">
        <v>40</v>
      </c>
      <c r="T11" s="31"/>
    </row>
    <row r="12" spans="2:20" x14ac:dyDescent="0.3">
      <c r="B12" s="111" t="s">
        <v>96</v>
      </c>
      <c r="C12" s="41" t="s">
        <v>106</v>
      </c>
      <c r="D12" s="41"/>
      <c r="E12" s="102"/>
      <c r="G12" s="34" t="s">
        <v>38</v>
      </c>
      <c r="T12" s="31"/>
    </row>
    <row r="13" spans="2:20" ht="15" thickBot="1" x14ac:dyDescent="0.35">
      <c r="B13" s="111" t="s">
        <v>98</v>
      </c>
      <c r="C13" s="41" t="s">
        <v>105</v>
      </c>
      <c r="D13" s="41"/>
      <c r="E13" s="102"/>
      <c r="G13" s="33" t="s">
        <v>37</v>
      </c>
      <c r="T13" s="31"/>
    </row>
    <row r="14" spans="2:20" x14ac:dyDescent="0.3">
      <c r="B14" s="111" t="s">
        <v>27</v>
      </c>
      <c r="C14" s="41" t="s">
        <v>104</v>
      </c>
      <c r="D14" s="41"/>
      <c r="E14" s="102"/>
    </row>
    <row r="15" spans="2:20" x14ac:dyDescent="0.3">
      <c r="B15" s="111" t="s">
        <v>97</v>
      </c>
      <c r="C15" s="41" t="s">
        <v>103</v>
      </c>
      <c r="D15" s="41"/>
      <c r="E15" s="102"/>
      <c r="L15" s="108"/>
    </row>
    <row r="16" spans="2:20" x14ac:dyDescent="0.3">
      <c r="B16" s="111" t="s">
        <v>95</v>
      </c>
      <c r="C16" s="41" t="s">
        <v>102</v>
      </c>
      <c r="D16" s="41"/>
      <c r="E16" s="102"/>
      <c r="L16" s="108"/>
    </row>
    <row r="17" spans="2:18" x14ac:dyDescent="0.3">
      <c r="B17" s="110" t="s">
        <v>77</v>
      </c>
      <c r="C17" s="41" t="s">
        <v>101</v>
      </c>
      <c r="D17" s="41"/>
      <c r="E17" s="102"/>
      <c r="L17" s="108"/>
    </row>
    <row r="18" spans="2:18" ht="15" thickBot="1" x14ac:dyDescent="0.35">
      <c r="B18" s="109" t="s">
        <v>79</v>
      </c>
      <c r="C18" s="39" t="s">
        <v>100</v>
      </c>
      <c r="D18" s="39"/>
      <c r="E18" s="101"/>
      <c r="F18" s="1"/>
      <c r="G18" s="1"/>
      <c r="H18" s="1"/>
      <c r="I18" s="1"/>
      <c r="J18" s="1"/>
      <c r="K18" s="1"/>
      <c r="L18" s="1"/>
      <c r="M18" s="1"/>
      <c r="N18" s="1"/>
    </row>
    <row r="19" spans="2:18" ht="15" thickBot="1" x14ac:dyDescent="0.35">
      <c r="B19" s="108"/>
      <c r="F19" s="1"/>
      <c r="G19" s="1"/>
      <c r="H19" s="1"/>
      <c r="I19" s="1"/>
      <c r="J19" s="1"/>
      <c r="K19" s="1"/>
      <c r="L19" s="1"/>
      <c r="M19" s="1"/>
      <c r="N19" s="1"/>
    </row>
    <row r="20" spans="2:18" x14ac:dyDescent="0.3">
      <c r="B20" s="107" t="s">
        <v>99</v>
      </c>
      <c r="C20" s="29" t="s">
        <v>98</v>
      </c>
      <c r="D20" s="29" t="s">
        <v>27</v>
      </c>
      <c r="E20" s="29" t="s">
        <v>97</v>
      </c>
      <c r="F20" s="29" t="s">
        <v>96</v>
      </c>
      <c r="G20" s="29" t="s">
        <v>95</v>
      </c>
      <c r="H20" s="29" t="s">
        <v>77</v>
      </c>
      <c r="I20" s="29" t="s">
        <v>79</v>
      </c>
      <c r="J20" s="26" t="s">
        <v>94</v>
      </c>
      <c r="K20" s="26" t="s">
        <v>93</v>
      </c>
      <c r="L20" s="26" t="s">
        <v>92</v>
      </c>
      <c r="M20" s="26" t="s">
        <v>91</v>
      </c>
      <c r="N20" s="26" t="s">
        <v>90</v>
      </c>
      <c r="O20" s="26" t="s">
        <v>89</v>
      </c>
      <c r="P20" s="26" t="s">
        <v>50</v>
      </c>
      <c r="Q20" s="26" t="s">
        <v>88</v>
      </c>
      <c r="R20" s="25" t="s">
        <v>8</v>
      </c>
    </row>
    <row r="21" spans="2:18" ht="15" thickBot="1" x14ac:dyDescent="0.35">
      <c r="B21" s="105"/>
      <c r="C21" s="8" t="s">
        <v>4</v>
      </c>
      <c r="D21" s="8" t="s">
        <v>4</v>
      </c>
      <c r="E21" s="8" t="s">
        <v>6</v>
      </c>
      <c r="F21" s="8" t="s">
        <v>76</v>
      </c>
      <c r="G21" s="8"/>
      <c r="H21" s="8" t="s">
        <v>76</v>
      </c>
      <c r="I21" s="8" t="s">
        <v>87</v>
      </c>
      <c r="J21" s="6"/>
      <c r="K21" s="6" t="s">
        <v>4</v>
      </c>
      <c r="L21" s="6"/>
      <c r="M21" s="6"/>
      <c r="N21" s="6"/>
      <c r="O21" s="6"/>
      <c r="P21" s="6"/>
      <c r="Q21" s="6"/>
      <c r="R21" s="10"/>
    </row>
    <row r="22" spans="2:18" x14ac:dyDescent="0.3">
      <c r="B22" s="117" t="s">
        <v>114</v>
      </c>
      <c r="C22" s="118">
        <v>9.2455987930297852</v>
      </c>
      <c r="D22" s="118">
        <v>438.14999389648438</v>
      </c>
      <c r="E22" s="118">
        <v>0.5</v>
      </c>
      <c r="F22" s="118">
        <v>559.2540283203125</v>
      </c>
      <c r="G22" s="118">
        <v>1378350.125</v>
      </c>
      <c r="H22" s="118">
        <v>145.79022216796875</v>
      </c>
      <c r="I22" s="118">
        <v>0.39717197418212891</v>
      </c>
      <c r="J22" s="120">
        <f>C22/D22</f>
        <v>2.1101446814613251E-2</v>
      </c>
      <c r="K22" s="122">
        <f>1000*(400/(PI()*I22*H22^2))^0.5</f>
        <v>122.81102716999401</v>
      </c>
      <c r="L22" s="119" t="str">
        <f>IF(C22&lt;K22,"Yes","No")</f>
        <v>Yes</v>
      </c>
      <c r="M22" s="120">
        <f>0.467*J22^0.316</f>
        <v>0.13797472793687815</v>
      </c>
      <c r="N22" s="120">
        <f>0.42*J22^0.316*(H22/F22)^-0.083*(G22/10^6)^-0.065</f>
        <v>0.13587378872219305</v>
      </c>
      <c r="O22" s="120">
        <f>IF(G22&gt;16000000,M22,IF(J22=1,2*N22,N22))</f>
        <v>0.13587378872219305</v>
      </c>
      <c r="P22" s="18">
        <f>1000*O22*H22/C22</f>
        <v>2142.540498247246</v>
      </c>
      <c r="Q22" s="18">
        <f>0.206*F22/E22</f>
        <v>230.41265966796874</v>
      </c>
      <c r="R22" s="123">
        <f>IF(C22&lt;K22,0.2,IF((P22/Q22)&lt;1,0.29,1))</f>
        <v>0.2</v>
      </c>
    </row>
    <row r="23" spans="2:18" x14ac:dyDescent="0.3">
      <c r="B23" s="106"/>
      <c r="C23" s="121"/>
      <c r="D23" s="121"/>
      <c r="E23" s="121"/>
      <c r="F23" s="121"/>
      <c r="G23" s="121"/>
      <c r="H23" s="121"/>
      <c r="I23" s="121"/>
      <c r="J23" s="12" t="str">
        <f>IF(I23="","",C23/D23)</f>
        <v/>
      </c>
      <c r="K23" s="12" t="str">
        <f>IF(I23="","",1000*(400/(PI()*I23*H23^2))^0.5)</f>
        <v/>
      </c>
      <c r="L23" s="1" t="str">
        <f>IF(I23="","",IF(C23&lt;K23,"Yes","No"))</f>
        <v/>
      </c>
      <c r="M23" s="11" t="str">
        <f>IF(I23="","",0.467*J23^0.316)</f>
        <v/>
      </c>
      <c r="N23" s="11" t="str">
        <f>IF(I23="","",0.42*J23^0.316*(H23/F23)^-0.083*(G23/10^6)^-0.065)</f>
        <v/>
      </c>
      <c r="O23" s="11" t="str">
        <f>IF(I23="","",IF(G23&gt;16000000,M23,IF(J23=1,2*N23,N23)))</f>
        <v/>
      </c>
      <c r="P23" s="11" t="str">
        <f>IF(I23="","",1000*O23*H23/C23)</f>
        <v/>
      </c>
      <c r="Q23" s="11" t="str">
        <f>IF(I23="","",0.206*F23/E23)</f>
        <v/>
      </c>
      <c r="R23" s="17" t="str">
        <f>IF(I23="","",IF(C23&lt;K23,0.2,IF((P23/Q23)&lt;1,0.29,1)))</f>
        <v/>
      </c>
    </row>
    <row r="24" spans="2:18" x14ac:dyDescent="0.3">
      <c r="B24" s="106"/>
      <c r="C24" s="121"/>
      <c r="D24" s="121"/>
      <c r="E24" s="121"/>
      <c r="F24" s="121"/>
      <c r="G24" s="121"/>
      <c r="H24" s="121"/>
      <c r="I24" s="121"/>
      <c r="J24" s="12" t="str">
        <f t="shared" ref="J24:J58" si="0">IF(I24="","",C24/D24)</f>
        <v/>
      </c>
      <c r="K24" s="12" t="str">
        <f t="shared" ref="K24:K58" si="1">IF(I24="","",1000*(400/(PI()*I24*H24^2))^0.5)</f>
        <v/>
      </c>
      <c r="L24" s="1" t="str">
        <f t="shared" ref="L24:L58" si="2">IF(I24="","",IF(C24&lt;K24,"Yes","No"))</f>
        <v/>
      </c>
      <c r="M24" s="11" t="str">
        <f t="shared" ref="M24:M58" si="3">IF(I24="","",0.467*J24^0.316)</f>
        <v/>
      </c>
      <c r="N24" s="11" t="str">
        <f t="shared" ref="N24:N58" si="4">IF(I24="","",0.42*J24^0.316*(H24/F24)^-0.083*(G24/10^6)^-0.065)</f>
        <v/>
      </c>
      <c r="O24" s="11" t="str">
        <f t="shared" ref="O24:O58" si="5">IF(I24="","",IF(G24&gt;16000000,M24,IF(J24=1,2*N24,N24)))</f>
        <v/>
      </c>
      <c r="P24" s="11" t="str">
        <f t="shared" ref="P24:P58" si="6">IF(I24="","",1000*O24*H24/C24)</f>
        <v/>
      </c>
      <c r="Q24" s="11" t="str">
        <f t="shared" ref="Q24:Q58" si="7">IF(I24="","",0.206*F24/E24)</f>
        <v/>
      </c>
      <c r="R24" s="17" t="str">
        <f t="shared" ref="R24:R58" si="8">IF(I24="","",IF(C24&lt;K24,0.2,IF((P24/Q24)&lt;1,0.29,1)))</f>
        <v/>
      </c>
    </row>
    <row r="25" spans="2:18" x14ac:dyDescent="0.3">
      <c r="B25" s="106"/>
      <c r="C25" s="121"/>
      <c r="D25" s="121"/>
      <c r="E25" s="121"/>
      <c r="F25" s="121"/>
      <c r="G25" s="121"/>
      <c r="H25" s="121"/>
      <c r="I25" s="121"/>
      <c r="J25" s="12" t="str">
        <f t="shared" si="0"/>
        <v/>
      </c>
      <c r="K25" s="12" t="str">
        <f t="shared" si="1"/>
        <v/>
      </c>
      <c r="L25" s="1" t="str">
        <f t="shared" si="2"/>
        <v/>
      </c>
      <c r="M25" s="11" t="str">
        <f t="shared" si="3"/>
        <v/>
      </c>
      <c r="N25" s="11" t="str">
        <f t="shared" si="4"/>
        <v/>
      </c>
      <c r="O25" s="11" t="str">
        <f t="shared" si="5"/>
        <v/>
      </c>
      <c r="P25" s="11" t="str">
        <f t="shared" si="6"/>
        <v/>
      </c>
      <c r="Q25" s="11" t="str">
        <f t="shared" si="7"/>
        <v/>
      </c>
      <c r="R25" s="17" t="str">
        <f t="shared" si="8"/>
        <v/>
      </c>
    </row>
    <row r="26" spans="2:18" x14ac:dyDescent="0.3">
      <c r="B26" s="106"/>
      <c r="C26" s="121"/>
      <c r="D26" s="121"/>
      <c r="E26" s="121"/>
      <c r="F26" s="121"/>
      <c r="G26" s="121"/>
      <c r="H26" s="121"/>
      <c r="I26" s="121"/>
      <c r="J26" s="12" t="str">
        <f t="shared" si="0"/>
        <v/>
      </c>
      <c r="K26" s="12" t="str">
        <f t="shared" si="1"/>
        <v/>
      </c>
      <c r="L26" s="1" t="str">
        <f t="shared" si="2"/>
        <v/>
      </c>
      <c r="M26" s="11" t="str">
        <f t="shared" si="3"/>
        <v/>
      </c>
      <c r="N26" s="11" t="str">
        <f t="shared" si="4"/>
        <v/>
      </c>
      <c r="O26" s="11" t="str">
        <f t="shared" si="5"/>
        <v/>
      </c>
      <c r="P26" s="11" t="str">
        <f t="shared" si="6"/>
        <v/>
      </c>
      <c r="Q26" s="11" t="str">
        <f t="shared" si="7"/>
        <v/>
      </c>
      <c r="R26" s="17" t="str">
        <f t="shared" si="8"/>
        <v/>
      </c>
    </row>
    <row r="27" spans="2:18" x14ac:dyDescent="0.3">
      <c r="B27" s="106"/>
      <c r="C27" s="121"/>
      <c r="D27" s="121"/>
      <c r="E27" s="121"/>
      <c r="F27" s="121"/>
      <c r="G27" s="121"/>
      <c r="H27" s="121"/>
      <c r="I27" s="121"/>
      <c r="J27" s="12" t="str">
        <f t="shared" si="0"/>
        <v/>
      </c>
      <c r="K27" s="12" t="str">
        <f t="shared" si="1"/>
        <v/>
      </c>
      <c r="L27" s="1" t="str">
        <f t="shared" si="2"/>
        <v/>
      </c>
      <c r="M27" s="11" t="str">
        <f t="shared" si="3"/>
        <v/>
      </c>
      <c r="N27" s="11" t="str">
        <f t="shared" si="4"/>
        <v/>
      </c>
      <c r="O27" s="11" t="str">
        <f t="shared" si="5"/>
        <v/>
      </c>
      <c r="P27" s="11" t="str">
        <f t="shared" si="6"/>
        <v/>
      </c>
      <c r="Q27" s="11" t="str">
        <f t="shared" si="7"/>
        <v/>
      </c>
      <c r="R27" s="17" t="str">
        <f t="shared" si="8"/>
        <v/>
      </c>
    </row>
    <row r="28" spans="2:18" x14ac:dyDescent="0.3">
      <c r="B28" s="106"/>
      <c r="C28" s="121"/>
      <c r="D28" s="121"/>
      <c r="E28" s="121"/>
      <c r="F28" s="121"/>
      <c r="G28" s="121"/>
      <c r="H28" s="121"/>
      <c r="I28" s="121"/>
      <c r="J28" s="12" t="str">
        <f t="shared" si="0"/>
        <v/>
      </c>
      <c r="K28" s="12" t="str">
        <f t="shared" si="1"/>
        <v/>
      </c>
      <c r="L28" s="1" t="str">
        <f t="shared" si="2"/>
        <v/>
      </c>
      <c r="M28" s="11" t="str">
        <f t="shared" si="3"/>
        <v/>
      </c>
      <c r="N28" s="11" t="str">
        <f t="shared" si="4"/>
        <v/>
      </c>
      <c r="O28" s="11" t="str">
        <f t="shared" si="5"/>
        <v/>
      </c>
      <c r="P28" s="11" t="str">
        <f t="shared" si="6"/>
        <v/>
      </c>
      <c r="Q28" s="11" t="str">
        <f t="shared" si="7"/>
        <v/>
      </c>
      <c r="R28" s="17" t="str">
        <f t="shared" si="8"/>
        <v/>
      </c>
    </row>
    <row r="29" spans="2:18" x14ac:dyDescent="0.3">
      <c r="B29" s="106"/>
      <c r="C29" s="121"/>
      <c r="D29" s="121"/>
      <c r="E29" s="121"/>
      <c r="F29" s="121"/>
      <c r="G29" s="121"/>
      <c r="H29" s="121"/>
      <c r="I29" s="121"/>
      <c r="J29" s="12" t="str">
        <f t="shared" si="0"/>
        <v/>
      </c>
      <c r="K29" s="12" t="str">
        <f t="shared" si="1"/>
        <v/>
      </c>
      <c r="L29" s="1" t="str">
        <f t="shared" si="2"/>
        <v/>
      </c>
      <c r="M29" s="11" t="str">
        <f t="shared" si="3"/>
        <v/>
      </c>
      <c r="N29" s="11" t="str">
        <f t="shared" si="4"/>
        <v/>
      </c>
      <c r="O29" s="11" t="str">
        <f t="shared" si="5"/>
        <v/>
      </c>
      <c r="P29" s="11" t="str">
        <f t="shared" si="6"/>
        <v/>
      </c>
      <c r="Q29" s="11" t="str">
        <f t="shared" si="7"/>
        <v/>
      </c>
      <c r="R29" s="17" t="str">
        <f t="shared" si="8"/>
        <v/>
      </c>
    </row>
    <row r="30" spans="2:18" x14ac:dyDescent="0.3">
      <c r="B30" s="106"/>
      <c r="C30" s="121"/>
      <c r="D30" s="121"/>
      <c r="E30" s="121"/>
      <c r="F30" s="121"/>
      <c r="G30" s="121"/>
      <c r="H30" s="121"/>
      <c r="I30" s="121"/>
      <c r="J30" s="12" t="str">
        <f t="shared" si="0"/>
        <v/>
      </c>
      <c r="K30" s="12" t="str">
        <f t="shared" si="1"/>
        <v/>
      </c>
      <c r="L30" s="1" t="str">
        <f t="shared" si="2"/>
        <v/>
      </c>
      <c r="M30" s="11" t="str">
        <f t="shared" si="3"/>
        <v/>
      </c>
      <c r="N30" s="11" t="str">
        <f t="shared" si="4"/>
        <v/>
      </c>
      <c r="O30" s="11" t="str">
        <f t="shared" si="5"/>
        <v/>
      </c>
      <c r="P30" s="11" t="str">
        <f t="shared" si="6"/>
        <v/>
      </c>
      <c r="Q30" s="11" t="str">
        <f t="shared" si="7"/>
        <v/>
      </c>
      <c r="R30" s="17" t="str">
        <f t="shared" si="8"/>
        <v/>
      </c>
    </row>
    <row r="31" spans="2:18" x14ac:dyDescent="0.3">
      <c r="B31" s="106"/>
      <c r="C31" s="121"/>
      <c r="D31" s="121"/>
      <c r="E31" s="121"/>
      <c r="F31" s="121"/>
      <c r="G31" s="121"/>
      <c r="H31" s="121"/>
      <c r="I31" s="121"/>
      <c r="J31" s="12" t="str">
        <f t="shared" si="0"/>
        <v/>
      </c>
      <c r="K31" s="12" t="str">
        <f t="shared" si="1"/>
        <v/>
      </c>
      <c r="L31" s="1" t="str">
        <f t="shared" si="2"/>
        <v/>
      </c>
      <c r="M31" s="11" t="str">
        <f t="shared" si="3"/>
        <v/>
      </c>
      <c r="N31" s="11" t="str">
        <f t="shared" si="4"/>
        <v/>
      </c>
      <c r="O31" s="11" t="str">
        <f t="shared" si="5"/>
        <v/>
      </c>
      <c r="P31" s="11" t="str">
        <f t="shared" si="6"/>
        <v/>
      </c>
      <c r="Q31" s="11" t="str">
        <f t="shared" si="7"/>
        <v/>
      </c>
      <c r="R31" s="17" t="str">
        <f t="shared" si="8"/>
        <v/>
      </c>
    </row>
    <row r="32" spans="2:18" x14ac:dyDescent="0.3">
      <c r="B32" s="106"/>
      <c r="C32" s="121"/>
      <c r="D32" s="121"/>
      <c r="E32" s="121"/>
      <c r="F32" s="121"/>
      <c r="G32" s="121"/>
      <c r="H32" s="121"/>
      <c r="I32" s="121"/>
      <c r="J32" s="12" t="str">
        <f t="shared" si="0"/>
        <v/>
      </c>
      <c r="K32" s="12" t="str">
        <f t="shared" si="1"/>
        <v/>
      </c>
      <c r="L32" s="1" t="str">
        <f t="shared" si="2"/>
        <v/>
      </c>
      <c r="M32" s="11" t="str">
        <f t="shared" si="3"/>
        <v/>
      </c>
      <c r="N32" s="11" t="str">
        <f t="shared" si="4"/>
        <v/>
      </c>
      <c r="O32" s="11" t="str">
        <f t="shared" si="5"/>
        <v/>
      </c>
      <c r="P32" s="11" t="str">
        <f t="shared" si="6"/>
        <v/>
      </c>
      <c r="Q32" s="11" t="str">
        <f t="shared" si="7"/>
        <v/>
      </c>
      <c r="R32" s="17" t="str">
        <f t="shared" si="8"/>
        <v/>
      </c>
    </row>
    <row r="33" spans="2:18" x14ac:dyDescent="0.3">
      <c r="B33" s="106"/>
      <c r="C33" s="121"/>
      <c r="D33" s="121"/>
      <c r="E33" s="121"/>
      <c r="F33" s="121"/>
      <c r="G33" s="121"/>
      <c r="H33" s="121"/>
      <c r="I33" s="121"/>
      <c r="J33" s="12" t="str">
        <f t="shared" si="0"/>
        <v/>
      </c>
      <c r="K33" s="12" t="str">
        <f t="shared" si="1"/>
        <v/>
      </c>
      <c r="L33" s="1" t="str">
        <f t="shared" si="2"/>
        <v/>
      </c>
      <c r="M33" s="11" t="str">
        <f t="shared" si="3"/>
        <v/>
      </c>
      <c r="N33" s="11" t="str">
        <f t="shared" si="4"/>
        <v/>
      </c>
      <c r="O33" s="11" t="str">
        <f t="shared" si="5"/>
        <v/>
      </c>
      <c r="P33" s="11" t="str">
        <f t="shared" si="6"/>
        <v/>
      </c>
      <c r="Q33" s="11" t="str">
        <f t="shared" si="7"/>
        <v/>
      </c>
      <c r="R33" s="17" t="str">
        <f t="shared" si="8"/>
        <v/>
      </c>
    </row>
    <row r="34" spans="2:18" x14ac:dyDescent="0.3">
      <c r="B34" s="106"/>
      <c r="C34" s="121"/>
      <c r="D34" s="121"/>
      <c r="E34" s="121"/>
      <c r="F34" s="121"/>
      <c r="G34" s="121"/>
      <c r="H34" s="121"/>
      <c r="I34" s="121"/>
      <c r="J34" s="12" t="str">
        <f t="shared" si="0"/>
        <v/>
      </c>
      <c r="K34" s="12" t="str">
        <f t="shared" si="1"/>
        <v/>
      </c>
      <c r="L34" s="1" t="str">
        <f t="shared" si="2"/>
        <v/>
      </c>
      <c r="M34" s="11" t="str">
        <f t="shared" si="3"/>
        <v/>
      </c>
      <c r="N34" s="11" t="str">
        <f t="shared" si="4"/>
        <v/>
      </c>
      <c r="O34" s="11" t="str">
        <f t="shared" si="5"/>
        <v/>
      </c>
      <c r="P34" s="11" t="str">
        <f t="shared" si="6"/>
        <v/>
      </c>
      <c r="Q34" s="11" t="str">
        <f t="shared" si="7"/>
        <v/>
      </c>
      <c r="R34" s="17" t="str">
        <f t="shared" si="8"/>
        <v/>
      </c>
    </row>
    <row r="35" spans="2:18" x14ac:dyDescent="0.3">
      <c r="B35" s="106"/>
      <c r="C35" s="121"/>
      <c r="D35" s="121"/>
      <c r="E35" s="121"/>
      <c r="F35" s="121"/>
      <c r="G35" s="121"/>
      <c r="H35" s="121"/>
      <c r="I35" s="121"/>
      <c r="J35" s="12" t="str">
        <f t="shared" si="0"/>
        <v/>
      </c>
      <c r="K35" s="12" t="str">
        <f t="shared" si="1"/>
        <v/>
      </c>
      <c r="L35" s="1" t="str">
        <f t="shared" si="2"/>
        <v/>
      </c>
      <c r="M35" s="11" t="str">
        <f t="shared" si="3"/>
        <v/>
      </c>
      <c r="N35" s="11" t="str">
        <f t="shared" si="4"/>
        <v/>
      </c>
      <c r="O35" s="11" t="str">
        <f t="shared" si="5"/>
        <v/>
      </c>
      <c r="P35" s="11" t="str">
        <f t="shared" si="6"/>
        <v/>
      </c>
      <c r="Q35" s="11" t="str">
        <f t="shared" si="7"/>
        <v/>
      </c>
      <c r="R35" s="17" t="str">
        <f t="shared" si="8"/>
        <v/>
      </c>
    </row>
    <row r="36" spans="2:18" x14ac:dyDescent="0.3">
      <c r="B36" s="106"/>
      <c r="C36" s="121"/>
      <c r="D36" s="121"/>
      <c r="E36" s="121"/>
      <c r="F36" s="121"/>
      <c r="G36" s="121"/>
      <c r="H36" s="121"/>
      <c r="I36" s="121"/>
      <c r="J36" s="12" t="str">
        <f t="shared" si="0"/>
        <v/>
      </c>
      <c r="K36" s="12" t="str">
        <f t="shared" si="1"/>
        <v/>
      </c>
      <c r="L36" s="1" t="str">
        <f t="shared" si="2"/>
        <v/>
      </c>
      <c r="M36" s="11" t="str">
        <f t="shared" si="3"/>
        <v/>
      </c>
      <c r="N36" s="11" t="str">
        <f t="shared" si="4"/>
        <v/>
      </c>
      <c r="O36" s="11" t="str">
        <f t="shared" si="5"/>
        <v/>
      </c>
      <c r="P36" s="11" t="str">
        <f t="shared" si="6"/>
        <v/>
      </c>
      <c r="Q36" s="11" t="str">
        <f t="shared" si="7"/>
        <v/>
      </c>
      <c r="R36" s="17" t="str">
        <f t="shared" si="8"/>
        <v/>
      </c>
    </row>
    <row r="37" spans="2:18" x14ac:dyDescent="0.3">
      <c r="B37" s="106"/>
      <c r="C37" s="121"/>
      <c r="D37" s="121"/>
      <c r="E37" s="121"/>
      <c r="F37" s="121"/>
      <c r="G37" s="121"/>
      <c r="H37" s="121"/>
      <c r="I37" s="121"/>
      <c r="J37" s="12" t="str">
        <f t="shared" si="0"/>
        <v/>
      </c>
      <c r="K37" s="12" t="str">
        <f t="shared" si="1"/>
        <v/>
      </c>
      <c r="L37" s="1" t="str">
        <f t="shared" si="2"/>
        <v/>
      </c>
      <c r="M37" s="11" t="str">
        <f t="shared" si="3"/>
        <v/>
      </c>
      <c r="N37" s="11" t="str">
        <f t="shared" si="4"/>
        <v/>
      </c>
      <c r="O37" s="11" t="str">
        <f t="shared" si="5"/>
        <v/>
      </c>
      <c r="P37" s="11" t="str">
        <f t="shared" si="6"/>
        <v/>
      </c>
      <c r="Q37" s="11" t="str">
        <f t="shared" si="7"/>
        <v/>
      </c>
      <c r="R37" s="17" t="str">
        <f t="shared" si="8"/>
        <v/>
      </c>
    </row>
    <row r="38" spans="2:18" x14ac:dyDescent="0.3">
      <c r="B38" s="106"/>
      <c r="C38" s="121"/>
      <c r="D38" s="121"/>
      <c r="E38" s="121"/>
      <c r="F38" s="121"/>
      <c r="G38" s="121"/>
      <c r="H38" s="121"/>
      <c r="I38" s="121"/>
      <c r="J38" s="12" t="str">
        <f t="shared" si="0"/>
        <v/>
      </c>
      <c r="K38" s="12" t="str">
        <f t="shared" si="1"/>
        <v/>
      </c>
      <c r="L38" s="1" t="str">
        <f t="shared" si="2"/>
        <v/>
      </c>
      <c r="M38" s="11" t="str">
        <f t="shared" si="3"/>
        <v/>
      </c>
      <c r="N38" s="11" t="str">
        <f t="shared" si="4"/>
        <v/>
      </c>
      <c r="O38" s="11" t="str">
        <f t="shared" si="5"/>
        <v/>
      </c>
      <c r="P38" s="11" t="str">
        <f t="shared" si="6"/>
        <v/>
      </c>
      <c r="Q38" s="11" t="str">
        <f t="shared" si="7"/>
        <v/>
      </c>
      <c r="R38" s="17" t="str">
        <f t="shared" si="8"/>
        <v/>
      </c>
    </row>
    <row r="39" spans="2:18" x14ac:dyDescent="0.3">
      <c r="B39" s="106"/>
      <c r="C39" s="121"/>
      <c r="D39" s="121"/>
      <c r="E39" s="121"/>
      <c r="F39" s="121"/>
      <c r="G39" s="121"/>
      <c r="H39" s="121"/>
      <c r="I39" s="121"/>
      <c r="J39" s="12" t="str">
        <f t="shared" si="0"/>
        <v/>
      </c>
      <c r="K39" s="12" t="str">
        <f t="shared" si="1"/>
        <v/>
      </c>
      <c r="L39" s="1" t="str">
        <f t="shared" si="2"/>
        <v/>
      </c>
      <c r="M39" s="11" t="str">
        <f t="shared" si="3"/>
        <v/>
      </c>
      <c r="N39" s="11" t="str">
        <f t="shared" si="4"/>
        <v/>
      </c>
      <c r="O39" s="11" t="str">
        <f t="shared" si="5"/>
        <v/>
      </c>
      <c r="P39" s="11" t="str">
        <f t="shared" si="6"/>
        <v/>
      </c>
      <c r="Q39" s="11" t="str">
        <f t="shared" si="7"/>
        <v/>
      </c>
      <c r="R39" s="17" t="str">
        <f t="shared" si="8"/>
        <v/>
      </c>
    </row>
    <row r="40" spans="2:18" x14ac:dyDescent="0.3">
      <c r="B40" s="106"/>
      <c r="C40" s="121"/>
      <c r="D40" s="121"/>
      <c r="E40" s="121"/>
      <c r="F40" s="121"/>
      <c r="G40" s="121"/>
      <c r="H40" s="121"/>
      <c r="I40" s="121"/>
      <c r="J40" s="12" t="str">
        <f t="shared" si="0"/>
        <v/>
      </c>
      <c r="K40" s="12" t="str">
        <f t="shared" si="1"/>
        <v/>
      </c>
      <c r="L40" s="1" t="str">
        <f t="shared" si="2"/>
        <v/>
      </c>
      <c r="M40" s="11" t="str">
        <f t="shared" si="3"/>
        <v/>
      </c>
      <c r="N40" s="11" t="str">
        <f t="shared" si="4"/>
        <v/>
      </c>
      <c r="O40" s="11" t="str">
        <f t="shared" si="5"/>
        <v/>
      </c>
      <c r="P40" s="11" t="str">
        <f t="shared" si="6"/>
        <v/>
      </c>
      <c r="Q40" s="11" t="str">
        <f t="shared" si="7"/>
        <v/>
      </c>
      <c r="R40" s="17" t="str">
        <f t="shared" si="8"/>
        <v/>
      </c>
    </row>
    <row r="41" spans="2:18" x14ac:dyDescent="0.3">
      <c r="B41" s="106"/>
      <c r="C41" s="121"/>
      <c r="D41" s="121"/>
      <c r="E41" s="121"/>
      <c r="F41" s="121"/>
      <c r="G41" s="121"/>
      <c r="H41" s="121"/>
      <c r="I41" s="121"/>
      <c r="J41" s="12" t="str">
        <f t="shared" si="0"/>
        <v/>
      </c>
      <c r="K41" s="12" t="str">
        <f t="shared" si="1"/>
        <v/>
      </c>
      <c r="L41" s="1" t="str">
        <f t="shared" si="2"/>
        <v/>
      </c>
      <c r="M41" s="11" t="str">
        <f t="shared" si="3"/>
        <v/>
      </c>
      <c r="N41" s="11" t="str">
        <f t="shared" si="4"/>
        <v/>
      </c>
      <c r="O41" s="11" t="str">
        <f t="shared" si="5"/>
        <v/>
      </c>
      <c r="P41" s="11" t="str">
        <f t="shared" si="6"/>
        <v/>
      </c>
      <c r="Q41" s="11" t="str">
        <f t="shared" si="7"/>
        <v/>
      </c>
      <c r="R41" s="17" t="str">
        <f t="shared" si="8"/>
        <v/>
      </c>
    </row>
    <row r="42" spans="2:18" x14ac:dyDescent="0.3">
      <c r="B42" s="106"/>
      <c r="C42" s="121"/>
      <c r="D42" s="121"/>
      <c r="E42" s="121"/>
      <c r="F42" s="121"/>
      <c r="G42" s="121"/>
      <c r="H42" s="121"/>
      <c r="I42" s="121"/>
      <c r="J42" s="12" t="str">
        <f t="shared" si="0"/>
        <v/>
      </c>
      <c r="K42" s="12" t="str">
        <f t="shared" si="1"/>
        <v/>
      </c>
      <c r="L42" s="1" t="str">
        <f t="shared" si="2"/>
        <v/>
      </c>
      <c r="M42" s="11" t="str">
        <f t="shared" si="3"/>
        <v/>
      </c>
      <c r="N42" s="11" t="str">
        <f t="shared" si="4"/>
        <v/>
      </c>
      <c r="O42" s="11" t="str">
        <f t="shared" si="5"/>
        <v/>
      </c>
      <c r="P42" s="11" t="str">
        <f t="shared" si="6"/>
        <v/>
      </c>
      <c r="Q42" s="11" t="str">
        <f t="shared" si="7"/>
        <v/>
      </c>
      <c r="R42" s="17" t="str">
        <f t="shared" si="8"/>
        <v/>
      </c>
    </row>
    <row r="43" spans="2:18" x14ac:dyDescent="0.3">
      <c r="B43" s="106"/>
      <c r="C43" s="121"/>
      <c r="D43" s="121"/>
      <c r="E43" s="121"/>
      <c r="F43" s="121"/>
      <c r="G43" s="121"/>
      <c r="H43" s="121"/>
      <c r="I43" s="121"/>
      <c r="J43" s="12" t="str">
        <f t="shared" si="0"/>
        <v/>
      </c>
      <c r="K43" s="12" t="str">
        <f t="shared" si="1"/>
        <v/>
      </c>
      <c r="L43" s="1" t="str">
        <f t="shared" si="2"/>
        <v/>
      </c>
      <c r="M43" s="11" t="str">
        <f t="shared" si="3"/>
        <v/>
      </c>
      <c r="N43" s="11" t="str">
        <f t="shared" si="4"/>
        <v/>
      </c>
      <c r="O43" s="11" t="str">
        <f t="shared" si="5"/>
        <v/>
      </c>
      <c r="P43" s="11" t="str">
        <f t="shared" si="6"/>
        <v/>
      </c>
      <c r="Q43" s="11" t="str">
        <f t="shared" si="7"/>
        <v/>
      </c>
      <c r="R43" s="17" t="str">
        <f t="shared" si="8"/>
        <v/>
      </c>
    </row>
    <row r="44" spans="2:18" x14ac:dyDescent="0.3">
      <c r="B44" s="106"/>
      <c r="C44" s="121"/>
      <c r="D44" s="121"/>
      <c r="E44" s="121"/>
      <c r="F44" s="121"/>
      <c r="G44" s="121"/>
      <c r="H44" s="121"/>
      <c r="I44" s="121"/>
      <c r="J44" s="12" t="str">
        <f t="shared" si="0"/>
        <v/>
      </c>
      <c r="K44" s="12" t="str">
        <f t="shared" si="1"/>
        <v/>
      </c>
      <c r="L44" s="1" t="str">
        <f t="shared" si="2"/>
        <v/>
      </c>
      <c r="M44" s="11" t="str">
        <f t="shared" si="3"/>
        <v/>
      </c>
      <c r="N44" s="11" t="str">
        <f t="shared" si="4"/>
        <v/>
      </c>
      <c r="O44" s="11" t="str">
        <f t="shared" si="5"/>
        <v/>
      </c>
      <c r="P44" s="11" t="str">
        <f t="shared" si="6"/>
        <v/>
      </c>
      <c r="Q44" s="11" t="str">
        <f t="shared" si="7"/>
        <v/>
      </c>
      <c r="R44" s="17" t="str">
        <f t="shared" si="8"/>
        <v/>
      </c>
    </row>
    <row r="45" spans="2:18" x14ac:dyDescent="0.3">
      <c r="B45" s="106"/>
      <c r="C45" s="121"/>
      <c r="D45" s="121"/>
      <c r="E45" s="121"/>
      <c r="F45" s="121"/>
      <c r="G45" s="121"/>
      <c r="H45" s="121"/>
      <c r="I45" s="121"/>
      <c r="J45" s="12" t="str">
        <f t="shared" si="0"/>
        <v/>
      </c>
      <c r="K45" s="12" t="str">
        <f t="shared" si="1"/>
        <v/>
      </c>
      <c r="L45" s="1" t="str">
        <f t="shared" si="2"/>
        <v/>
      </c>
      <c r="M45" s="11" t="str">
        <f t="shared" si="3"/>
        <v/>
      </c>
      <c r="N45" s="11" t="str">
        <f t="shared" si="4"/>
        <v/>
      </c>
      <c r="O45" s="11" t="str">
        <f t="shared" si="5"/>
        <v/>
      </c>
      <c r="P45" s="11" t="str">
        <f t="shared" si="6"/>
        <v/>
      </c>
      <c r="Q45" s="11" t="str">
        <f t="shared" si="7"/>
        <v/>
      </c>
      <c r="R45" s="17" t="str">
        <f t="shared" si="8"/>
        <v/>
      </c>
    </row>
    <row r="46" spans="2:18" x14ac:dyDescent="0.3">
      <c r="B46" s="106"/>
      <c r="C46" s="121"/>
      <c r="D46" s="121"/>
      <c r="E46" s="121"/>
      <c r="F46" s="121"/>
      <c r="G46" s="121"/>
      <c r="H46" s="121"/>
      <c r="I46" s="121"/>
      <c r="J46" s="12" t="str">
        <f t="shared" si="0"/>
        <v/>
      </c>
      <c r="K46" s="12" t="str">
        <f t="shared" si="1"/>
        <v/>
      </c>
      <c r="L46" s="1" t="str">
        <f t="shared" si="2"/>
        <v/>
      </c>
      <c r="M46" s="11" t="str">
        <f t="shared" si="3"/>
        <v/>
      </c>
      <c r="N46" s="11" t="str">
        <f t="shared" si="4"/>
        <v/>
      </c>
      <c r="O46" s="11" t="str">
        <f t="shared" si="5"/>
        <v/>
      </c>
      <c r="P46" s="11" t="str">
        <f t="shared" si="6"/>
        <v/>
      </c>
      <c r="Q46" s="11" t="str">
        <f t="shared" si="7"/>
        <v/>
      </c>
      <c r="R46" s="17" t="str">
        <f t="shared" si="8"/>
        <v/>
      </c>
    </row>
    <row r="47" spans="2:18" x14ac:dyDescent="0.3">
      <c r="B47" s="106"/>
      <c r="C47" s="121"/>
      <c r="D47" s="121"/>
      <c r="E47" s="121"/>
      <c r="F47" s="121"/>
      <c r="G47" s="121"/>
      <c r="H47" s="121"/>
      <c r="I47" s="121"/>
      <c r="J47" s="12" t="str">
        <f t="shared" si="0"/>
        <v/>
      </c>
      <c r="K47" s="12" t="str">
        <f t="shared" si="1"/>
        <v/>
      </c>
      <c r="L47" s="1" t="str">
        <f t="shared" si="2"/>
        <v/>
      </c>
      <c r="M47" s="11" t="str">
        <f t="shared" si="3"/>
        <v/>
      </c>
      <c r="N47" s="11" t="str">
        <f t="shared" si="4"/>
        <v/>
      </c>
      <c r="O47" s="11" t="str">
        <f t="shared" si="5"/>
        <v/>
      </c>
      <c r="P47" s="11" t="str">
        <f t="shared" si="6"/>
        <v/>
      </c>
      <c r="Q47" s="11" t="str">
        <f t="shared" si="7"/>
        <v/>
      </c>
      <c r="R47" s="17" t="str">
        <f t="shared" si="8"/>
        <v/>
      </c>
    </row>
    <row r="48" spans="2:18" x14ac:dyDescent="0.3">
      <c r="B48" s="106"/>
      <c r="C48" s="121"/>
      <c r="D48" s="121"/>
      <c r="E48" s="121"/>
      <c r="F48" s="121"/>
      <c r="G48" s="121"/>
      <c r="H48" s="121"/>
      <c r="I48" s="121"/>
      <c r="J48" s="12" t="str">
        <f t="shared" si="0"/>
        <v/>
      </c>
      <c r="K48" s="12" t="str">
        <f t="shared" si="1"/>
        <v/>
      </c>
      <c r="L48" s="1" t="str">
        <f t="shared" si="2"/>
        <v/>
      </c>
      <c r="M48" s="11" t="str">
        <f t="shared" si="3"/>
        <v/>
      </c>
      <c r="N48" s="11" t="str">
        <f t="shared" si="4"/>
        <v/>
      </c>
      <c r="O48" s="11" t="str">
        <f t="shared" si="5"/>
        <v/>
      </c>
      <c r="P48" s="11" t="str">
        <f t="shared" si="6"/>
        <v/>
      </c>
      <c r="Q48" s="11" t="str">
        <f t="shared" si="7"/>
        <v/>
      </c>
      <c r="R48" s="17" t="str">
        <f t="shared" si="8"/>
        <v/>
      </c>
    </row>
    <row r="49" spans="2:18" x14ac:dyDescent="0.3">
      <c r="B49" s="106"/>
      <c r="C49" s="121"/>
      <c r="D49" s="121"/>
      <c r="E49" s="121"/>
      <c r="F49" s="121"/>
      <c r="G49" s="121"/>
      <c r="H49" s="121"/>
      <c r="I49" s="121"/>
      <c r="J49" s="12" t="str">
        <f t="shared" si="0"/>
        <v/>
      </c>
      <c r="K49" s="12" t="str">
        <f t="shared" si="1"/>
        <v/>
      </c>
      <c r="L49" s="1" t="str">
        <f t="shared" si="2"/>
        <v/>
      </c>
      <c r="M49" s="11" t="str">
        <f t="shared" si="3"/>
        <v/>
      </c>
      <c r="N49" s="11" t="str">
        <f t="shared" si="4"/>
        <v/>
      </c>
      <c r="O49" s="11" t="str">
        <f t="shared" si="5"/>
        <v/>
      </c>
      <c r="P49" s="11" t="str">
        <f t="shared" si="6"/>
        <v/>
      </c>
      <c r="Q49" s="11" t="str">
        <f t="shared" si="7"/>
        <v/>
      </c>
      <c r="R49" s="17" t="str">
        <f t="shared" si="8"/>
        <v/>
      </c>
    </row>
    <row r="50" spans="2:18" x14ac:dyDescent="0.3">
      <c r="B50" s="106"/>
      <c r="C50" s="121"/>
      <c r="D50" s="121"/>
      <c r="E50" s="121"/>
      <c r="F50" s="121"/>
      <c r="G50" s="121"/>
      <c r="H50" s="121"/>
      <c r="I50" s="121"/>
      <c r="J50" s="12" t="str">
        <f t="shared" si="0"/>
        <v/>
      </c>
      <c r="K50" s="12" t="str">
        <f t="shared" si="1"/>
        <v/>
      </c>
      <c r="L50" s="1" t="str">
        <f t="shared" si="2"/>
        <v/>
      </c>
      <c r="M50" s="11" t="str">
        <f t="shared" si="3"/>
        <v/>
      </c>
      <c r="N50" s="11" t="str">
        <f t="shared" si="4"/>
        <v/>
      </c>
      <c r="O50" s="11" t="str">
        <f t="shared" si="5"/>
        <v/>
      </c>
      <c r="P50" s="11" t="str">
        <f t="shared" si="6"/>
        <v/>
      </c>
      <c r="Q50" s="11" t="str">
        <f t="shared" si="7"/>
        <v/>
      </c>
      <c r="R50" s="17" t="str">
        <f t="shared" si="8"/>
        <v/>
      </c>
    </row>
    <row r="51" spans="2:18" x14ac:dyDescent="0.3">
      <c r="B51" s="106"/>
      <c r="C51" s="121"/>
      <c r="D51" s="121"/>
      <c r="E51" s="121"/>
      <c r="F51" s="121"/>
      <c r="G51" s="121"/>
      <c r="H51" s="121"/>
      <c r="I51" s="121"/>
      <c r="J51" s="12" t="str">
        <f t="shared" si="0"/>
        <v/>
      </c>
      <c r="K51" s="12" t="str">
        <f t="shared" si="1"/>
        <v/>
      </c>
      <c r="L51" s="1" t="str">
        <f t="shared" si="2"/>
        <v/>
      </c>
      <c r="M51" s="11" t="str">
        <f t="shared" si="3"/>
        <v/>
      </c>
      <c r="N51" s="11" t="str">
        <f t="shared" si="4"/>
        <v/>
      </c>
      <c r="O51" s="11" t="str">
        <f t="shared" si="5"/>
        <v/>
      </c>
      <c r="P51" s="11" t="str">
        <f t="shared" si="6"/>
        <v/>
      </c>
      <c r="Q51" s="11" t="str">
        <f t="shared" si="7"/>
        <v/>
      </c>
      <c r="R51" s="17" t="str">
        <f t="shared" si="8"/>
        <v/>
      </c>
    </row>
    <row r="52" spans="2:18" x14ac:dyDescent="0.3">
      <c r="B52" s="106"/>
      <c r="C52" s="121"/>
      <c r="D52" s="121"/>
      <c r="E52" s="121"/>
      <c r="F52" s="121"/>
      <c r="G52" s="121"/>
      <c r="H52" s="121"/>
      <c r="I52" s="121"/>
      <c r="J52" s="12" t="str">
        <f t="shared" si="0"/>
        <v/>
      </c>
      <c r="K52" s="12" t="str">
        <f t="shared" si="1"/>
        <v/>
      </c>
      <c r="L52" s="1" t="str">
        <f t="shared" si="2"/>
        <v/>
      </c>
      <c r="M52" s="11" t="str">
        <f t="shared" si="3"/>
        <v/>
      </c>
      <c r="N52" s="11" t="str">
        <f t="shared" si="4"/>
        <v/>
      </c>
      <c r="O52" s="11" t="str">
        <f t="shared" si="5"/>
        <v/>
      </c>
      <c r="P52" s="11" t="str">
        <f t="shared" si="6"/>
        <v/>
      </c>
      <c r="Q52" s="11" t="str">
        <f t="shared" si="7"/>
        <v/>
      </c>
      <c r="R52" s="17" t="str">
        <f t="shared" si="8"/>
        <v/>
      </c>
    </row>
    <row r="53" spans="2:18" x14ac:dyDescent="0.3">
      <c r="B53" s="106"/>
      <c r="C53" s="121"/>
      <c r="D53" s="121"/>
      <c r="E53" s="121"/>
      <c r="F53" s="121"/>
      <c r="G53" s="121"/>
      <c r="H53" s="121"/>
      <c r="I53" s="121"/>
      <c r="J53" s="12" t="str">
        <f t="shared" si="0"/>
        <v/>
      </c>
      <c r="K53" s="12" t="str">
        <f t="shared" si="1"/>
        <v/>
      </c>
      <c r="L53" s="1" t="str">
        <f t="shared" si="2"/>
        <v/>
      </c>
      <c r="M53" s="11" t="str">
        <f t="shared" si="3"/>
        <v/>
      </c>
      <c r="N53" s="11" t="str">
        <f t="shared" si="4"/>
        <v/>
      </c>
      <c r="O53" s="11" t="str">
        <f t="shared" si="5"/>
        <v/>
      </c>
      <c r="P53" s="11" t="str">
        <f t="shared" si="6"/>
        <v/>
      </c>
      <c r="Q53" s="11" t="str">
        <f t="shared" si="7"/>
        <v/>
      </c>
      <c r="R53" s="17" t="str">
        <f t="shared" si="8"/>
        <v/>
      </c>
    </row>
    <row r="54" spans="2:18" x14ac:dyDescent="0.3">
      <c r="B54" s="106"/>
      <c r="C54" s="121"/>
      <c r="D54" s="121"/>
      <c r="E54" s="121"/>
      <c r="F54" s="121"/>
      <c r="G54" s="121"/>
      <c r="H54" s="121"/>
      <c r="I54" s="121"/>
      <c r="J54" s="12" t="str">
        <f t="shared" si="0"/>
        <v/>
      </c>
      <c r="K54" s="12" t="str">
        <f t="shared" si="1"/>
        <v/>
      </c>
      <c r="L54" s="1" t="str">
        <f t="shared" si="2"/>
        <v/>
      </c>
      <c r="M54" s="11" t="str">
        <f t="shared" si="3"/>
        <v/>
      </c>
      <c r="N54" s="11" t="str">
        <f t="shared" si="4"/>
        <v/>
      </c>
      <c r="O54" s="11" t="str">
        <f t="shared" si="5"/>
        <v/>
      </c>
      <c r="P54" s="11" t="str">
        <f t="shared" si="6"/>
        <v/>
      </c>
      <c r="Q54" s="11" t="str">
        <f t="shared" si="7"/>
        <v/>
      </c>
      <c r="R54" s="17" t="str">
        <f t="shared" si="8"/>
        <v/>
      </c>
    </row>
    <row r="55" spans="2:18" x14ac:dyDescent="0.3">
      <c r="B55" s="106"/>
      <c r="C55" s="121"/>
      <c r="D55" s="121"/>
      <c r="E55" s="121"/>
      <c r="F55" s="121"/>
      <c r="G55" s="121"/>
      <c r="H55" s="121"/>
      <c r="I55" s="121"/>
      <c r="J55" s="12" t="str">
        <f t="shared" si="0"/>
        <v/>
      </c>
      <c r="K55" s="12" t="str">
        <f t="shared" si="1"/>
        <v/>
      </c>
      <c r="L55" s="1" t="str">
        <f t="shared" si="2"/>
        <v/>
      </c>
      <c r="M55" s="11" t="str">
        <f t="shared" si="3"/>
        <v/>
      </c>
      <c r="N55" s="11" t="str">
        <f t="shared" si="4"/>
        <v/>
      </c>
      <c r="O55" s="11" t="str">
        <f t="shared" si="5"/>
        <v/>
      </c>
      <c r="P55" s="11" t="str">
        <f t="shared" si="6"/>
        <v/>
      </c>
      <c r="Q55" s="11" t="str">
        <f t="shared" si="7"/>
        <v/>
      </c>
      <c r="R55" s="17" t="str">
        <f t="shared" si="8"/>
        <v/>
      </c>
    </row>
    <row r="56" spans="2:18" x14ac:dyDescent="0.3">
      <c r="B56" s="106"/>
      <c r="C56" s="121"/>
      <c r="D56" s="121"/>
      <c r="E56" s="121"/>
      <c r="F56" s="121"/>
      <c r="G56" s="121"/>
      <c r="H56" s="121"/>
      <c r="I56" s="121"/>
      <c r="J56" s="12" t="str">
        <f t="shared" si="0"/>
        <v/>
      </c>
      <c r="K56" s="12" t="str">
        <f t="shared" si="1"/>
        <v/>
      </c>
      <c r="L56" s="1" t="str">
        <f t="shared" si="2"/>
        <v/>
      </c>
      <c r="M56" s="11" t="str">
        <f t="shared" si="3"/>
        <v/>
      </c>
      <c r="N56" s="11" t="str">
        <f t="shared" si="4"/>
        <v/>
      </c>
      <c r="O56" s="11" t="str">
        <f t="shared" si="5"/>
        <v/>
      </c>
      <c r="P56" s="11" t="str">
        <f t="shared" si="6"/>
        <v/>
      </c>
      <c r="Q56" s="11" t="str">
        <f t="shared" si="7"/>
        <v/>
      </c>
      <c r="R56" s="17" t="str">
        <f t="shared" si="8"/>
        <v/>
      </c>
    </row>
    <row r="57" spans="2:18" x14ac:dyDescent="0.3">
      <c r="B57" s="106"/>
      <c r="C57" s="121"/>
      <c r="D57" s="121"/>
      <c r="E57" s="121"/>
      <c r="F57" s="121"/>
      <c r="G57" s="121"/>
      <c r="H57" s="121"/>
      <c r="I57" s="121"/>
      <c r="J57" s="12" t="str">
        <f t="shared" si="0"/>
        <v/>
      </c>
      <c r="K57" s="12" t="str">
        <f t="shared" si="1"/>
        <v/>
      </c>
      <c r="L57" s="1" t="str">
        <f t="shared" si="2"/>
        <v/>
      </c>
      <c r="M57" s="11" t="str">
        <f t="shared" si="3"/>
        <v/>
      </c>
      <c r="N57" s="11" t="str">
        <f t="shared" si="4"/>
        <v/>
      </c>
      <c r="O57" s="11" t="str">
        <f t="shared" si="5"/>
        <v/>
      </c>
      <c r="P57" s="11" t="str">
        <f t="shared" si="6"/>
        <v/>
      </c>
      <c r="Q57" s="11" t="str">
        <f t="shared" si="7"/>
        <v/>
      </c>
      <c r="R57" s="17" t="str">
        <f t="shared" si="8"/>
        <v/>
      </c>
    </row>
    <row r="58" spans="2:18" ht="15" thickBot="1" x14ac:dyDescent="0.35">
      <c r="B58" s="105"/>
      <c r="C58" s="104"/>
      <c r="D58" s="104"/>
      <c r="E58" s="104"/>
      <c r="F58" s="104"/>
      <c r="G58" s="104"/>
      <c r="H58" s="104"/>
      <c r="I58" s="104"/>
      <c r="J58" s="3" t="str">
        <f t="shared" si="0"/>
        <v/>
      </c>
      <c r="K58" s="3" t="str">
        <f t="shared" si="1"/>
        <v/>
      </c>
      <c r="L58" s="6" t="str">
        <f t="shared" si="2"/>
        <v/>
      </c>
      <c r="M58" s="2" t="str">
        <f t="shared" si="3"/>
        <v/>
      </c>
      <c r="N58" s="2" t="str">
        <f t="shared" si="4"/>
        <v/>
      </c>
      <c r="O58" s="2" t="str">
        <f t="shared" si="5"/>
        <v/>
      </c>
      <c r="P58" s="2" t="str">
        <f t="shared" si="6"/>
        <v/>
      </c>
      <c r="Q58" s="2" t="str">
        <f t="shared" si="7"/>
        <v/>
      </c>
      <c r="R58" s="10" t="str">
        <f t="shared" si="8"/>
        <v/>
      </c>
    </row>
  </sheetData>
  <conditionalFormatting sqref="M22:M58">
    <cfRule type="expression" dxfId="5" priority="4">
      <formula>$G22&lt;16000000</formula>
    </cfRule>
  </conditionalFormatting>
  <conditionalFormatting sqref="M22:Q58">
    <cfRule type="expression" dxfId="4" priority="5">
      <formula>$C22&lt;$K22</formula>
    </cfRule>
  </conditionalFormatting>
  <conditionalFormatting sqref="N22:N58">
    <cfRule type="expression" dxfId="3" priority="3">
      <formula>$G22&gt;16000000</formula>
    </cfRule>
  </conditionalFormatting>
  <conditionalFormatting sqref="R22:R58">
    <cfRule type="top10" dxfId="2" priority="1" rank="1"/>
  </conditionalFormatting>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58B9-6547-475B-8C13-E9A6AB1C7F03}">
  <dimension ref="A2:AG50"/>
  <sheetViews>
    <sheetView workbookViewId="0">
      <selection activeCell="N16" sqref="N16"/>
    </sheetView>
  </sheetViews>
  <sheetFormatPr defaultRowHeight="14.4" x14ac:dyDescent="0.3"/>
  <cols>
    <col min="1" max="1" width="5.88671875" customWidth="1"/>
    <col min="2" max="2" width="5.6640625" style="1" customWidth="1"/>
    <col min="3" max="3" width="18.88671875" customWidth="1"/>
    <col min="4" max="4" width="10" customWidth="1"/>
    <col min="5" max="5" width="14" bestFit="1" customWidth="1"/>
    <col min="6" max="6" width="6.88671875" customWidth="1"/>
    <col min="7" max="7" width="15.88671875" customWidth="1"/>
    <col min="8" max="8" width="10.6640625" customWidth="1"/>
    <col min="9" max="9" width="23" customWidth="1"/>
    <col min="10" max="10" width="7.6640625" customWidth="1"/>
    <col min="11" max="11" width="16.6640625" customWidth="1"/>
    <col min="12" max="12" width="6.6640625" customWidth="1"/>
    <col min="13" max="13" width="4.44140625" bestFit="1" customWidth="1"/>
    <col min="14" max="14" width="5.5546875" bestFit="1" customWidth="1"/>
    <col min="15" max="15" width="10.44140625" bestFit="1" customWidth="1"/>
    <col min="16" max="16" width="22.6640625" bestFit="1" customWidth="1"/>
    <col min="17" max="17" width="5.6640625" bestFit="1" customWidth="1"/>
    <col min="18" max="18" width="15.109375" customWidth="1"/>
    <col min="19" max="19" width="10.44140625" bestFit="1" customWidth="1"/>
    <col min="20" max="20" width="6.33203125" customWidth="1"/>
    <col min="21" max="21" width="36.44140625" bestFit="1" customWidth="1"/>
    <col min="22" max="22" width="5.5546875" bestFit="1" customWidth="1"/>
    <col min="23" max="23" width="4.5546875" bestFit="1" customWidth="1"/>
    <col min="24" max="24" width="4" bestFit="1" customWidth="1"/>
    <col min="25" max="25" width="8.5546875" bestFit="1" customWidth="1"/>
    <col min="26" max="26" width="9.5546875" bestFit="1" customWidth="1"/>
    <col min="27" max="28" width="5.6640625" bestFit="1" customWidth="1"/>
    <col min="29" max="29" width="8.5546875" bestFit="1" customWidth="1"/>
    <col min="30" max="30" width="10.44140625" bestFit="1" customWidth="1"/>
    <col min="31" max="31" width="6.44140625" bestFit="1" customWidth="1"/>
    <col min="32" max="32" width="5.5546875" bestFit="1" customWidth="1"/>
    <col min="33" max="33" width="11.109375" bestFit="1" customWidth="1"/>
  </cols>
  <sheetData>
    <row r="2" spans="1:33" x14ac:dyDescent="0.3">
      <c r="C2" s="45" t="s">
        <v>45</v>
      </c>
    </row>
    <row r="3" spans="1:33" ht="15" thickBot="1" x14ac:dyDescent="0.35"/>
    <row r="4" spans="1:33" x14ac:dyDescent="0.3">
      <c r="C4" s="44" t="s">
        <v>44</v>
      </c>
      <c r="D4" s="43"/>
      <c r="E4" s="43"/>
      <c r="F4" s="43"/>
      <c r="G4" s="43"/>
      <c r="H4" s="43"/>
      <c r="I4" s="43"/>
      <c r="J4" s="43"/>
      <c r="K4" s="43"/>
      <c r="L4" s="43"/>
      <c r="M4" s="43"/>
      <c r="N4" s="103"/>
    </row>
    <row r="5" spans="1:33" x14ac:dyDescent="0.3">
      <c r="C5" s="42" t="s">
        <v>43</v>
      </c>
      <c r="D5" s="41"/>
      <c r="E5" s="41"/>
      <c r="F5" s="41"/>
      <c r="G5" s="41"/>
      <c r="H5" s="41"/>
      <c r="I5" s="41"/>
      <c r="J5" s="41"/>
      <c r="K5" s="41"/>
      <c r="L5" s="41"/>
      <c r="M5" s="41"/>
      <c r="N5" s="102"/>
    </row>
    <row r="6" spans="1:33" ht="15" thickBot="1" x14ac:dyDescent="0.35">
      <c r="C6" s="40" t="s">
        <v>42</v>
      </c>
      <c r="D6" s="39"/>
      <c r="E6" s="39"/>
      <c r="F6" s="39"/>
      <c r="G6" s="39"/>
      <c r="H6" s="39"/>
      <c r="I6" s="39"/>
      <c r="J6" s="39"/>
      <c r="K6" s="39"/>
      <c r="L6" s="39"/>
      <c r="M6" s="39"/>
      <c r="N6" s="101"/>
    </row>
    <row r="7" spans="1:33" ht="15" thickBot="1" x14ac:dyDescent="0.35"/>
    <row r="8" spans="1:33" ht="15" thickBot="1" x14ac:dyDescent="0.35">
      <c r="C8" s="32" t="s">
        <v>40</v>
      </c>
      <c r="E8" s="38" t="s">
        <v>41</v>
      </c>
      <c r="F8" s="37">
        <f ca="1">T16</f>
        <v>0.50052422986612921</v>
      </c>
    </row>
    <row r="9" spans="1:33" x14ac:dyDescent="0.3">
      <c r="C9" s="35" t="s">
        <v>39</v>
      </c>
    </row>
    <row r="10" spans="1:33" x14ac:dyDescent="0.3">
      <c r="C10" s="34" t="s">
        <v>38</v>
      </c>
      <c r="E10" t="s">
        <v>119</v>
      </c>
      <c r="Q10" s="36"/>
      <c r="T10" s="36"/>
    </row>
    <row r="11" spans="1:33" ht="15" thickBot="1" x14ac:dyDescent="0.35">
      <c r="C11" s="33" t="s">
        <v>37</v>
      </c>
      <c r="E11" t="s">
        <v>120</v>
      </c>
    </row>
    <row r="12" spans="1:33" ht="15" thickBot="1" x14ac:dyDescent="0.35"/>
    <row r="13" spans="1:33" ht="18.600000000000001" thickBot="1" x14ac:dyDescent="0.4">
      <c r="C13" s="162" t="s">
        <v>36</v>
      </c>
      <c r="D13" s="163"/>
      <c r="E13" s="163"/>
      <c r="F13" s="163"/>
      <c r="G13" s="163"/>
      <c r="H13" s="163"/>
      <c r="I13" s="129"/>
      <c r="K13" s="162" t="s">
        <v>35</v>
      </c>
      <c r="L13" s="163"/>
      <c r="M13" s="163"/>
      <c r="N13" s="163"/>
      <c r="O13" s="163"/>
      <c r="P13" s="163"/>
      <c r="Q13" s="163"/>
      <c r="R13" s="163"/>
      <c r="S13" s="163"/>
      <c r="T13" s="163"/>
      <c r="U13" s="32" t="s">
        <v>34</v>
      </c>
      <c r="V13" s="164" t="s">
        <v>33</v>
      </c>
      <c r="W13" s="164"/>
      <c r="X13" s="164"/>
      <c r="Y13" s="164"/>
      <c r="Z13" s="164"/>
      <c r="AA13" s="164"/>
      <c r="AB13" s="164"/>
      <c r="AC13" s="164"/>
      <c r="AD13" s="164"/>
      <c r="AE13" s="164"/>
      <c r="AF13" s="164"/>
      <c r="AG13" s="165"/>
    </row>
    <row r="14" spans="1:33" x14ac:dyDescent="0.3">
      <c r="B14" s="1" t="s">
        <v>32</v>
      </c>
      <c r="C14" s="30" t="s">
        <v>31</v>
      </c>
      <c r="D14" s="29" t="s">
        <v>29</v>
      </c>
      <c r="E14" s="28" t="s">
        <v>30</v>
      </c>
      <c r="F14" s="28" t="s">
        <v>26</v>
      </c>
      <c r="G14" s="26" t="s">
        <v>115</v>
      </c>
      <c r="H14" s="26" t="s">
        <v>20</v>
      </c>
      <c r="I14" s="144" t="s">
        <v>118</v>
      </c>
      <c r="J14" s="31"/>
      <c r="K14" s="30" t="s">
        <v>28</v>
      </c>
      <c r="L14" s="29" t="s">
        <v>27</v>
      </c>
      <c r="M14" s="28" t="s">
        <v>25</v>
      </c>
      <c r="N14" s="28" t="s">
        <v>24</v>
      </c>
      <c r="O14" s="28" t="s">
        <v>23</v>
      </c>
      <c r="P14" s="28" t="s">
        <v>22</v>
      </c>
      <c r="Q14" s="26" t="s">
        <v>21</v>
      </c>
      <c r="R14" s="26" t="s">
        <v>117</v>
      </c>
      <c r="S14" s="26" t="s">
        <v>20</v>
      </c>
      <c r="T14" s="26" t="s">
        <v>8</v>
      </c>
      <c r="U14" s="27" t="s">
        <v>19</v>
      </c>
      <c r="V14" s="26" t="s">
        <v>18</v>
      </c>
      <c r="W14" s="26" t="s">
        <v>17</v>
      </c>
      <c r="X14" s="26" t="s">
        <v>16</v>
      </c>
      <c r="Y14" s="26" t="s">
        <v>15</v>
      </c>
      <c r="Z14" s="26" t="s">
        <v>14</v>
      </c>
      <c r="AA14" s="26" t="s">
        <v>14</v>
      </c>
      <c r="AB14" s="26" t="s">
        <v>13</v>
      </c>
      <c r="AC14" s="26" t="s">
        <v>12</v>
      </c>
      <c r="AD14" s="26" t="s">
        <v>11</v>
      </c>
      <c r="AE14" s="26" t="s">
        <v>10</v>
      </c>
      <c r="AF14" s="26" t="s">
        <v>9</v>
      </c>
      <c r="AG14" s="25" t="s">
        <v>8</v>
      </c>
    </row>
    <row r="15" spans="1:33" ht="15" thickBot="1" x14ac:dyDescent="0.35">
      <c r="B15" s="1" t="s">
        <v>7</v>
      </c>
      <c r="C15" s="9"/>
      <c r="D15" s="8" t="s">
        <v>3</v>
      </c>
      <c r="E15" s="7" t="s">
        <v>3</v>
      </c>
      <c r="F15" s="7" t="s">
        <v>6</v>
      </c>
      <c r="G15" s="6" t="s">
        <v>3</v>
      </c>
      <c r="H15" s="22"/>
      <c r="I15" s="10" t="s">
        <v>116</v>
      </c>
      <c r="K15" s="24"/>
      <c r="L15" s="8" t="s">
        <v>4</v>
      </c>
      <c r="M15" s="7" t="s">
        <v>4</v>
      </c>
      <c r="N15" s="7" t="s">
        <v>4</v>
      </c>
      <c r="O15" s="7" t="s">
        <v>5</v>
      </c>
      <c r="P15" s="7" t="s">
        <v>5</v>
      </c>
      <c r="Q15" s="6" t="s">
        <v>4</v>
      </c>
      <c r="R15" s="6" t="s">
        <v>3</v>
      </c>
      <c r="S15" s="22"/>
      <c r="T15" s="22"/>
      <c r="U15" s="23"/>
      <c r="V15" s="6"/>
      <c r="W15" s="6"/>
      <c r="X15" s="6"/>
      <c r="Y15" s="6"/>
      <c r="Z15" s="6" t="s">
        <v>2</v>
      </c>
      <c r="AA15" s="6"/>
      <c r="AB15" s="6"/>
      <c r="AC15" s="6"/>
      <c r="AD15" s="22"/>
      <c r="AE15" s="22"/>
      <c r="AF15" s="22"/>
      <c r="AG15" s="21" t="s">
        <v>1</v>
      </c>
    </row>
    <row r="16" spans="1:33" ht="15" thickBot="1" x14ac:dyDescent="0.35">
      <c r="A16" s="1"/>
      <c r="B16" s="1">
        <f>IF(D16="","",COUNT($D$16:D16))</f>
        <v>1</v>
      </c>
      <c r="C16" s="20">
        <v>2</v>
      </c>
      <c r="D16" s="118">
        <v>119.69205474853516</v>
      </c>
      <c r="E16" s="19">
        <v>0</v>
      </c>
      <c r="F16" s="19">
        <v>20</v>
      </c>
      <c r="G16" s="122">
        <f t="shared" ref="G16:G48" si="0">IF(B16="","",D16-E16)</f>
        <v>119.69205474853516</v>
      </c>
      <c r="H16" s="119" t="str">
        <f t="shared" ref="H16:H48" si="1">IF(G16="","",IF(G16&gt;=155,"Yes","No"))</f>
        <v>No</v>
      </c>
      <c r="I16" s="145">
        <f t="shared" ref="I16:I18" si="2">IF(G16="","",G16-60*(F16/$L$16))</f>
        <v>116.95326662411148</v>
      </c>
      <c r="J16" s="1"/>
      <c r="K16" s="134">
        <v>6</v>
      </c>
      <c r="L16" s="148">
        <v>438.14999389648438</v>
      </c>
      <c r="M16" s="135">
        <v>9.5250000000000004</v>
      </c>
      <c r="N16" s="135">
        <v>13.7</v>
      </c>
      <c r="O16" s="135" t="s">
        <v>0</v>
      </c>
      <c r="P16" s="135" t="s">
        <v>15</v>
      </c>
      <c r="Q16" s="136">
        <f>IF(L16="","",L16+(2*M16))</f>
        <v>457.19999389648439</v>
      </c>
      <c r="R16" s="136">
        <f ca="1">IF(L16="","",10*LOG10(U16))</f>
        <v>158.54922206804449</v>
      </c>
      <c r="S16" s="138" t="str">
        <f ca="1">IF(L16="","",IF(R16&gt;=155,"Yes","No"))</f>
        <v>Yes</v>
      </c>
      <c r="T16" s="147">
        <f ca="1">IF(L16="","",IF(R16&gt;155,AG16,0.29))</f>
        <v>0.50052422986612921</v>
      </c>
      <c r="U16" s="140" cm="1">
        <f t="array" aca="1" ref="U16" ca="1">IF(I16="","",SUM(10^(OFFSET($I$16,0,0,COUNTA(D16:D48))/10)))</f>
        <v>7160151421889310</v>
      </c>
      <c r="V16" s="139">
        <f>IF(L16="","",0.000000328*(Q16/M16)^3-0.00008503*(Q16/M16)^2+0.007063*Q16/M16+0.816)</f>
        <v>0.99538905525203503</v>
      </c>
      <c r="W16" s="136">
        <f>IF(L16="","",91.9-Q16/M16)</f>
        <v>43.900000640789045</v>
      </c>
      <c r="X16" s="137">
        <f ca="1">IF(L16="","",V16*(R16-0.112762*W16-0.001812*W16^2+0.00004307277*W16^3))</f>
        <v>153.04207927822108</v>
      </c>
      <c r="Y16" s="141">
        <f ca="1">IF(L16="","",10^(470711.5155-63075.1242*LOG10(X16)+183685.4368*X16^-0.5-575094.3273*X16^-0.1))</f>
        <v>4614318493.9632521</v>
      </c>
      <c r="Z16" s="142">
        <f>IF(L16="","",-0.07+0.91*Q16/N16+1.32*N16/Q16-0.48*(Q16/N16)^1.5+0.065*(Q16/N16)^2)</f>
        <v>10.191410462105054</v>
      </c>
      <c r="AA16" s="142">
        <f>IF(L16="","",IF(Q16/N16&lt;10,Z16,0.5))</f>
        <v>0.5</v>
      </c>
      <c r="AB16" s="139">
        <f ca="1">IF(L16="","",0.29+0.09*TANH((R16-172)/2.9))</f>
        <v>0.20001684779778242</v>
      </c>
      <c r="AC16" s="139">
        <f ca="1">IF(L16="","",0.263+0.087*TANH((R16-172)/2.9))</f>
        <v>0.17601628620452303</v>
      </c>
      <c r="AD16" s="141">
        <f ca="1">IF(L16="","",IF(AND(O16="Y",P16="Y"),Y16*AA16*AB16*AC16,IF(O16="Y",Y16*AA16*AB16,IF(P16="Y",Y16*AA16*AC16,Y16*AA16))))</f>
        <v>461470719.94877023</v>
      </c>
      <c r="AE16" s="139">
        <f ca="1">IF(L16="","",-0.1303*LN(AD16)+3.1)</f>
        <v>0.50052422986612921</v>
      </c>
      <c r="AF16" s="139">
        <f ca="1">IF(L16="","",IF(AE16&lt;0,0,IF(AE16&gt;1,1,AE16)))</f>
        <v>0.50052422986612921</v>
      </c>
      <c r="AG16" s="143">
        <f ca="1">IF(L16="","",IF(AF16&lt;0.5,0.29,AF16))</f>
        <v>0.50052422986612921</v>
      </c>
    </row>
    <row r="17" spans="1:33" x14ac:dyDescent="0.3">
      <c r="A17" s="1"/>
      <c r="B17" s="1">
        <f>IF(D17="","",COUNT($D$16:D17))</f>
        <v>2</v>
      </c>
      <c r="C17" s="16">
        <v>3</v>
      </c>
      <c r="D17" s="121">
        <v>161.14189147949219</v>
      </c>
      <c r="E17" s="14">
        <v>0</v>
      </c>
      <c r="F17" s="14">
        <v>19</v>
      </c>
      <c r="G17" s="132">
        <f t="shared" si="0"/>
        <v>161.14189147949219</v>
      </c>
      <c r="H17" s="1" t="str">
        <f t="shared" si="1"/>
        <v>Yes</v>
      </c>
      <c r="I17" s="145">
        <f t="shared" si="2"/>
        <v>158.5400427612897</v>
      </c>
      <c r="J17" s="1"/>
      <c r="K17" s="1"/>
      <c r="L17" s="1"/>
      <c r="M17" s="1"/>
      <c r="N17" s="1"/>
      <c r="O17" s="1"/>
      <c r="P17" s="1"/>
      <c r="Q17" s="132"/>
      <c r="R17" s="13"/>
      <c r="S17" s="1"/>
      <c r="T17" s="11"/>
      <c r="U17" s="133"/>
      <c r="V17" s="11"/>
      <c r="W17" s="132"/>
      <c r="X17" s="13"/>
      <c r="Y17" s="133"/>
      <c r="Z17" s="12"/>
      <c r="AA17" s="12"/>
      <c r="AB17" s="11"/>
      <c r="AC17" s="11"/>
      <c r="AD17" s="133"/>
      <c r="AE17" s="11"/>
      <c r="AF17" s="11"/>
      <c r="AG17" s="11"/>
    </row>
    <row r="18" spans="1:33" x14ac:dyDescent="0.3">
      <c r="A18" s="1"/>
      <c r="B18" s="1">
        <f>IF(D18="","",COUNT($D$16:D18))</f>
        <v>3</v>
      </c>
      <c r="C18" s="16">
        <v>4</v>
      </c>
      <c r="D18" s="121">
        <v>85.127571105957031</v>
      </c>
      <c r="E18" s="14">
        <v>0</v>
      </c>
      <c r="F18" s="14">
        <v>13</v>
      </c>
      <c r="G18" s="132">
        <f t="shared" si="0"/>
        <v>85.127571105957031</v>
      </c>
      <c r="H18" s="1" t="str">
        <f t="shared" si="1"/>
        <v>No</v>
      </c>
      <c r="I18" s="145">
        <f t="shared" si="2"/>
        <v>83.347358825081642</v>
      </c>
      <c r="J18" s="1"/>
      <c r="K18" s="1"/>
      <c r="L18" s="1"/>
      <c r="M18" s="1"/>
      <c r="N18" s="1"/>
      <c r="O18" s="1"/>
      <c r="P18" s="1"/>
      <c r="Q18" s="132"/>
      <c r="R18" s="13"/>
      <c r="S18" s="1"/>
      <c r="T18" s="11"/>
      <c r="U18" s="133"/>
      <c r="V18" s="11"/>
      <c r="W18" s="132"/>
      <c r="X18" s="13"/>
      <c r="Y18" s="133"/>
      <c r="Z18" s="12"/>
      <c r="AA18" s="12"/>
      <c r="AB18" s="11"/>
      <c r="AE18" s="149"/>
      <c r="AF18" s="11"/>
      <c r="AG18" s="11"/>
    </row>
    <row r="19" spans="1:33" x14ac:dyDescent="0.3">
      <c r="A19" s="1"/>
      <c r="B19" s="1">
        <f>IF(D19="","",COUNT($D$16:D19))</f>
        <v>4</v>
      </c>
      <c r="C19" s="16">
        <v>5</v>
      </c>
      <c r="D19" s="121">
        <v>133.01939392089844</v>
      </c>
      <c r="E19" s="14">
        <v>0</v>
      </c>
      <c r="F19" s="14">
        <v>10</v>
      </c>
      <c r="G19" s="132">
        <f t="shared" si="0"/>
        <v>133.01939392089844</v>
      </c>
      <c r="H19" s="1" t="str">
        <f t="shared" si="1"/>
        <v>No</v>
      </c>
      <c r="I19" s="145">
        <f>IF(G19="","",G19-60*(F19/$L$16))</f>
        <v>131.64999985868658</v>
      </c>
      <c r="J19" s="1"/>
      <c r="K19" s="1"/>
      <c r="L19" s="1"/>
      <c r="M19" s="1"/>
      <c r="N19" s="1"/>
      <c r="O19" s="1"/>
      <c r="P19" s="1"/>
      <c r="Q19" s="132"/>
      <c r="R19" s="13"/>
      <c r="S19" s="1"/>
      <c r="T19" s="11"/>
      <c r="U19" s="133"/>
      <c r="V19" s="11"/>
      <c r="W19" s="132"/>
      <c r="X19" s="13"/>
      <c r="Y19" s="133"/>
      <c r="Z19" s="12"/>
      <c r="AA19" s="12"/>
      <c r="AB19" s="11"/>
      <c r="AC19" s="133"/>
      <c r="AE19" s="11"/>
      <c r="AF19" s="11"/>
      <c r="AG19" s="11"/>
    </row>
    <row r="20" spans="1:33" x14ac:dyDescent="0.3">
      <c r="B20" s="1" t="str">
        <f>IF(D20="","",COUNT($D$16:D20))</f>
        <v/>
      </c>
      <c r="C20" s="16"/>
      <c r="D20" s="15"/>
      <c r="E20" s="14"/>
      <c r="F20" s="14"/>
      <c r="G20" s="132" t="str">
        <f t="shared" si="0"/>
        <v/>
      </c>
      <c r="H20" s="1" t="str">
        <f t="shared" si="1"/>
        <v/>
      </c>
      <c r="I20" s="145" t="str">
        <f t="shared" ref="I20:I48" si="3">IF(G20="","",G20-60*(F20/$L$16))</f>
        <v/>
      </c>
      <c r="K20" s="1"/>
      <c r="L20" s="1"/>
      <c r="M20" s="1"/>
      <c r="N20" s="1"/>
      <c r="O20" s="1"/>
      <c r="P20" s="1"/>
      <c r="Q20" s="132"/>
      <c r="R20" s="13"/>
      <c r="S20" s="1"/>
      <c r="T20" s="11"/>
      <c r="U20" s="133"/>
      <c r="V20" s="11"/>
      <c r="W20" s="132"/>
      <c r="X20" s="13"/>
      <c r="Y20" s="133"/>
      <c r="Z20" s="12"/>
      <c r="AA20" s="12"/>
      <c r="AB20" s="11"/>
      <c r="AC20" s="133"/>
      <c r="AE20" s="11"/>
      <c r="AF20" s="11"/>
      <c r="AG20" s="11"/>
    </row>
    <row r="21" spans="1:33" x14ac:dyDescent="0.3">
      <c r="B21" s="1" t="str">
        <f>IF(D21="","",COUNT($D$16:D21))</f>
        <v/>
      </c>
      <c r="C21" s="16"/>
      <c r="D21" s="15"/>
      <c r="E21" s="14"/>
      <c r="F21" s="14"/>
      <c r="G21" s="132" t="str">
        <f t="shared" si="0"/>
        <v/>
      </c>
      <c r="H21" s="1" t="str">
        <f t="shared" si="1"/>
        <v/>
      </c>
      <c r="I21" s="145" t="str">
        <f t="shared" si="3"/>
        <v/>
      </c>
      <c r="K21" s="1"/>
      <c r="L21" s="1"/>
      <c r="M21" s="1"/>
      <c r="N21" s="1"/>
      <c r="O21" s="1"/>
      <c r="P21" s="1"/>
      <c r="Q21" s="132"/>
      <c r="R21" s="13"/>
      <c r="S21" s="1"/>
      <c r="T21" s="11"/>
      <c r="U21" s="133"/>
      <c r="V21" s="11"/>
      <c r="W21" s="132"/>
      <c r="X21" s="13"/>
      <c r="Y21" s="133"/>
      <c r="Z21" s="12"/>
      <c r="AA21" s="12"/>
      <c r="AB21" s="11"/>
      <c r="AC21" s="11"/>
      <c r="AD21" s="133"/>
      <c r="AE21" s="11"/>
      <c r="AF21" s="11"/>
      <c r="AG21" s="11"/>
    </row>
    <row r="22" spans="1:33" x14ac:dyDescent="0.3">
      <c r="B22" s="1" t="str">
        <f>IF(D22="","",COUNT($D$16:D22))</f>
        <v/>
      </c>
      <c r="C22" s="16"/>
      <c r="D22" s="15"/>
      <c r="E22" s="14"/>
      <c r="F22" s="14"/>
      <c r="G22" s="132" t="str">
        <f t="shared" si="0"/>
        <v/>
      </c>
      <c r="H22" s="1" t="str">
        <f t="shared" si="1"/>
        <v/>
      </c>
      <c r="I22" s="145" t="str">
        <f t="shared" si="3"/>
        <v/>
      </c>
      <c r="K22" s="1"/>
      <c r="L22" s="1"/>
      <c r="M22" s="1"/>
      <c r="N22" s="1"/>
      <c r="O22" s="1"/>
      <c r="P22" s="1"/>
      <c r="Q22" s="132"/>
      <c r="R22" s="13"/>
      <c r="S22" s="1"/>
      <c r="T22" s="11"/>
      <c r="U22" s="133"/>
      <c r="V22" s="11"/>
      <c r="W22" s="132"/>
      <c r="X22" s="13"/>
      <c r="Y22" s="133"/>
      <c r="Z22" s="12"/>
      <c r="AA22" s="12"/>
      <c r="AB22" s="11"/>
      <c r="AC22" s="11"/>
      <c r="AD22" s="133"/>
      <c r="AE22" s="11"/>
      <c r="AF22" s="11"/>
      <c r="AG22" s="11"/>
    </row>
    <row r="23" spans="1:33" x14ac:dyDescent="0.3">
      <c r="B23" s="1" t="str">
        <f>IF(D23="","",COUNT($D$16:D23))</f>
        <v/>
      </c>
      <c r="C23" s="16"/>
      <c r="D23" s="15"/>
      <c r="E23" s="14"/>
      <c r="F23" s="14"/>
      <c r="G23" s="132" t="str">
        <f t="shared" si="0"/>
        <v/>
      </c>
      <c r="H23" s="1" t="str">
        <f t="shared" si="1"/>
        <v/>
      </c>
      <c r="I23" s="145" t="str">
        <f t="shared" si="3"/>
        <v/>
      </c>
      <c r="K23" s="1"/>
      <c r="L23" s="1"/>
      <c r="M23" s="1"/>
      <c r="N23" s="1"/>
      <c r="O23" s="1"/>
      <c r="P23" s="1"/>
      <c r="Q23" s="132"/>
      <c r="R23" s="13"/>
      <c r="S23" s="1"/>
      <c r="T23" s="11"/>
      <c r="U23" s="133"/>
      <c r="V23" s="11"/>
      <c r="W23" s="132"/>
      <c r="X23" s="13"/>
      <c r="Y23" s="133"/>
      <c r="Z23" s="12"/>
      <c r="AA23" s="12"/>
      <c r="AB23" s="11"/>
      <c r="AC23" s="11"/>
      <c r="AD23" s="133"/>
      <c r="AE23" s="11"/>
      <c r="AF23" s="11"/>
      <c r="AG23" s="11"/>
    </row>
    <row r="24" spans="1:33" x14ac:dyDescent="0.3">
      <c r="B24" s="1" t="str">
        <f>IF(D24="","",COUNT($D$16:D24))</f>
        <v/>
      </c>
      <c r="C24" s="16"/>
      <c r="D24" s="15"/>
      <c r="E24" s="14"/>
      <c r="F24" s="14"/>
      <c r="G24" s="132" t="str">
        <f t="shared" si="0"/>
        <v/>
      </c>
      <c r="H24" s="1" t="str">
        <f t="shared" si="1"/>
        <v/>
      </c>
      <c r="I24" s="145" t="str">
        <f t="shared" si="3"/>
        <v/>
      </c>
      <c r="K24" s="1"/>
      <c r="L24" s="1"/>
      <c r="M24" s="1"/>
      <c r="N24" s="1"/>
      <c r="O24" s="1"/>
      <c r="P24" s="1"/>
      <c r="Q24" s="132"/>
      <c r="R24" s="13"/>
      <c r="S24" s="1"/>
      <c r="T24" s="11"/>
      <c r="U24" s="133"/>
      <c r="V24" s="11"/>
      <c r="W24" s="132"/>
      <c r="X24" s="13"/>
      <c r="Y24" s="133"/>
      <c r="Z24" s="12"/>
      <c r="AA24" s="12"/>
      <c r="AB24" s="11"/>
      <c r="AC24" s="11"/>
      <c r="AD24" s="133"/>
      <c r="AE24" s="11"/>
      <c r="AF24" s="11"/>
      <c r="AG24" s="11"/>
    </row>
    <row r="25" spans="1:33" x14ac:dyDescent="0.3">
      <c r="B25" s="1" t="str">
        <f>IF(D25="","",COUNT($D$16:D25))</f>
        <v/>
      </c>
      <c r="C25" s="16"/>
      <c r="D25" s="15"/>
      <c r="E25" s="14"/>
      <c r="F25" s="14"/>
      <c r="G25" s="132" t="str">
        <f t="shared" si="0"/>
        <v/>
      </c>
      <c r="H25" s="1" t="str">
        <f t="shared" si="1"/>
        <v/>
      </c>
      <c r="I25" s="145" t="str">
        <f t="shared" si="3"/>
        <v/>
      </c>
      <c r="K25" s="1"/>
      <c r="L25" s="1"/>
      <c r="M25" s="1"/>
      <c r="N25" s="1"/>
      <c r="O25" s="1"/>
      <c r="P25" s="1"/>
      <c r="Q25" s="132"/>
      <c r="R25" s="13"/>
      <c r="S25" s="1"/>
      <c r="T25" s="11"/>
      <c r="U25" s="133"/>
      <c r="V25" s="11"/>
      <c r="W25" s="132"/>
      <c r="X25" s="13"/>
      <c r="Y25" s="133"/>
      <c r="Z25" s="12"/>
      <c r="AA25" s="12"/>
      <c r="AB25" s="11"/>
      <c r="AC25" s="11"/>
      <c r="AD25" s="133"/>
      <c r="AE25" s="11"/>
      <c r="AF25" s="11"/>
      <c r="AG25" s="11"/>
    </row>
    <row r="26" spans="1:33" x14ac:dyDescent="0.3">
      <c r="B26" s="1" t="str">
        <f>IF(D26="","",COUNT($D$16:D26))</f>
        <v/>
      </c>
      <c r="C26" s="16"/>
      <c r="D26" s="15"/>
      <c r="E26" s="14"/>
      <c r="F26" s="14"/>
      <c r="G26" s="132" t="str">
        <f t="shared" si="0"/>
        <v/>
      </c>
      <c r="H26" s="1" t="str">
        <f t="shared" si="1"/>
        <v/>
      </c>
      <c r="I26" s="145" t="str">
        <f t="shared" si="3"/>
        <v/>
      </c>
      <c r="K26" s="1"/>
      <c r="L26" s="1"/>
      <c r="M26" s="1"/>
      <c r="N26" s="1"/>
      <c r="O26" s="1"/>
      <c r="P26" s="1"/>
      <c r="Q26" s="132"/>
      <c r="R26" s="13"/>
      <c r="S26" s="1"/>
      <c r="T26" s="11"/>
      <c r="U26" s="133"/>
      <c r="V26" s="11"/>
      <c r="W26" s="132"/>
      <c r="X26" s="13"/>
      <c r="Y26" s="133"/>
      <c r="Z26" s="12"/>
      <c r="AA26" s="12"/>
      <c r="AB26" s="11"/>
      <c r="AC26" s="11"/>
      <c r="AD26" s="133"/>
      <c r="AE26" s="11"/>
      <c r="AF26" s="11"/>
      <c r="AG26" s="11"/>
    </row>
    <row r="27" spans="1:33" x14ac:dyDescent="0.3">
      <c r="B27" s="1" t="str">
        <f>IF(D27="","",COUNT($D$16:D27))</f>
        <v/>
      </c>
      <c r="C27" s="16"/>
      <c r="D27" s="15"/>
      <c r="E27" s="14"/>
      <c r="F27" s="14"/>
      <c r="G27" s="132" t="str">
        <f t="shared" si="0"/>
        <v/>
      </c>
      <c r="H27" s="1" t="str">
        <f t="shared" si="1"/>
        <v/>
      </c>
      <c r="I27" s="145" t="str">
        <f t="shared" si="3"/>
        <v/>
      </c>
      <c r="K27" s="1"/>
      <c r="L27" s="1"/>
      <c r="M27" s="1"/>
      <c r="N27" s="1"/>
      <c r="O27" s="1"/>
      <c r="P27" s="1"/>
      <c r="Q27" s="132"/>
      <c r="R27" s="13"/>
      <c r="S27" s="1"/>
      <c r="T27" s="11"/>
      <c r="U27" s="133"/>
      <c r="V27" s="11"/>
      <c r="W27" s="132"/>
      <c r="X27" s="13"/>
      <c r="Y27" s="133"/>
      <c r="Z27" s="12"/>
      <c r="AA27" s="12"/>
      <c r="AB27" s="11"/>
      <c r="AC27" s="11"/>
      <c r="AD27" s="133"/>
      <c r="AE27" s="11"/>
      <c r="AF27" s="11"/>
      <c r="AG27" s="11"/>
    </row>
    <row r="28" spans="1:33" x14ac:dyDescent="0.3">
      <c r="B28" s="1" t="str">
        <f>IF(D28="","",COUNT($D$16:D28))</f>
        <v/>
      </c>
      <c r="C28" s="16"/>
      <c r="D28" s="15"/>
      <c r="E28" s="14"/>
      <c r="F28" s="14"/>
      <c r="G28" s="132" t="str">
        <f t="shared" si="0"/>
        <v/>
      </c>
      <c r="H28" s="1" t="str">
        <f t="shared" si="1"/>
        <v/>
      </c>
      <c r="I28" s="145" t="str">
        <f t="shared" si="3"/>
        <v/>
      </c>
      <c r="K28" s="1"/>
      <c r="L28" s="1"/>
      <c r="M28" s="1"/>
      <c r="N28" s="1"/>
      <c r="O28" s="1"/>
      <c r="P28" s="1"/>
      <c r="Q28" s="132"/>
      <c r="R28" s="13"/>
      <c r="S28" s="1"/>
      <c r="T28" s="11"/>
      <c r="U28" s="133"/>
      <c r="V28" s="11"/>
      <c r="W28" s="132"/>
      <c r="X28" s="13"/>
      <c r="Y28" s="133"/>
      <c r="Z28" s="12"/>
      <c r="AA28" s="12"/>
      <c r="AB28" s="11"/>
      <c r="AC28" s="11"/>
      <c r="AD28" s="133"/>
      <c r="AE28" s="11"/>
      <c r="AF28" s="11"/>
      <c r="AG28" s="11"/>
    </row>
    <row r="29" spans="1:33" x14ac:dyDescent="0.3">
      <c r="B29" s="1" t="str">
        <f>IF(D29="","",COUNT($D$16:D29))</f>
        <v/>
      </c>
      <c r="C29" s="16"/>
      <c r="D29" s="15"/>
      <c r="E29" s="14"/>
      <c r="F29" s="14"/>
      <c r="G29" s="132" t="str">
        <f t="shared" si="0"/>
        <v/>
      </c>
      <c r="H29" s="1" t="str">
        <f t="shared" si="1"/>
        <v/>
      </c>
      <c r="I29" s="145" t="str">
        <f t="shared" si="3"/>
        <v/>
      </c>
      <c r="K29" s="1"/>
      <c r="L29" s="1"/>
      <c r="M29" s="1"/>
      <c r="N29" s="1"/>
      <c r="O29" s="1"/>
      <c r="P29" s="1"/>
      <c r="Q29" s="132"/>
      <c r="R29" s="13"/>
      <c r="S29" s="1"/>
      <c r="T29" s="11"/>
      <c r="U29" s="133"/>
      <c r="V29" s="11"/>
      <c r="W29" s="132"/>
      <c r="X29" s="13"/>
      <c r="Y29" s="133"/>
      <c r="Z29" s="12"/>
      <c r="AA29" s="12"/>
      <c r="AB29" s="11"/>
      <c r="AC29" s="11"/>
      <c r="AD29" s="133"/>
      <c r="AE29" s="11"/>
      <c r="AF29" s="11"/>
      <c r="AG29" s="11"/>
    </row>
    <row r="30" spans="1:33" x14ac:dyDescent="0.3">
      <c r="B30" s="1" t="str">
        <f>IF(D30="","",COUNT($D$16:D30))</f>
        <v/>
      </c>
      <c r="C30" s="16"/>
      <c r="D30" s="15"/>
      <c r="E30" s="14"/>
      <c r="F30" s="14"/>
      <c r="G30" s="132" t="str">
        <f t="shared" si="0"/>
        <v/>
      </c>
      <c r="H30" s="1" t="str">
        <f t="shared" si="1"/>
        <v/>
      </c>
      <c r="I30" s="145" t="str">
        <f t="shared" si="3"/>
        <v/>
      </c>
      <c r="K30" s="1"/>
      <c r="L30" s="1"/>
      <c r="M30" s="1"/>
      <c r="N30" s="1"/>
      <c r="O30" s="1"/>
      <c r="P30" s="1"/>
      <c r="Q30" s="132"/>
      <c r="R30" s="13"/>
      <c r="S30" s="1"/>
      <c r="T30" s="11"/>
      <c r="U30" s="133"/>
      <c r="V30" s="11"/>
      <c r="W30" s="132"/>
      <c r="X30" s="13"/>
      <c r="Y30" s="133"/>
      <c r="Z30" s="12"/>
      <c r="AA30" s="12"/>
      <c r="AB30" s="11"/>
      <c r="AC30" s="11"/>
      <c r="AD30" s="133"/>
      <c r="AE30" s="11"/>
      <c r="AF30" s="11"/>
      <c r="AG30" s="11"/>
    </row>
    <row r="31" spans="1:33" x14ac:dyDescent="0.3">
      <c r="B31" s="1" t="str">
        <f>IF(D31="","",COUNT($D$16:D31))</f>
        <v/>
      </c>
      <c r="C31" s="16"/>
      <c r="D31" s="15"/>
      <c r="E31" s="14"/>
      <c r="F31" s="14"/>
      <c r="G31" s="132" t="str">
        <f t="shared" si="0"/>
        <v/>
      </c>
      <c r="H31" s="1" t="str">
        <f t="shared" si="1"/>
        <v/>
      </c>
      <c r="I31" s="145" t="str">
        <f t="shared" si="3"/>
        <v/>
      </c>
      <c r="K31" s="1"/>
      <c r="L31" s="1"/>
      <c r="M31" s="1"/>
      <c r="N31" s="1"/>
      <c r="O31" s="1"/>
      <c r="P31" s="1"/>
      <c r="Q31" s="132"/>
      <c r="R31" s="13"/>
      <c r="S31" s="1"/>
      <c r="T31" s="11"/>
      <c r="U31" s="133"/>
      <c r="V31" s="11"/>
      <c r="W31" s="132"/>
      <c r="X31" s="13"/>
      <c r="Y31" s="133"/>
      <c r="Z31" s="12"/>
      <c r="AA31" s="12"/>
      <c r="AB31" s="11"/>
      <c r="AC31" s="11"/>
      <c r="AD31" s="133"/>
      <c r="AE31" s="11"/>
      <c r="AF31" s="11"/>
      <c r="AG31" s="11"/>
    </row>
    <row r="32" spans="1:33" x14ac:dyDescent="0.3">
      <c r="B32" s="1" t="str">
        <f>IF(D32="","",COUNT($D$16:D32))</f>
        <v/>
      </c>
      <c r="C32" s="16"/>
      <c r="D32" s="15"/>
      <c r="E32" s="14"/>
      <c r="F32" s="14"/>
      <c r="G32" s="132" t="str">
        <f t="shared" si="0"/>
        <v/>
      </c>
      <c r="H32" s="1" t="str">
        <f t="shared" si="1"/>
        <v/>
      </c>
      <c r="I32" s="145" t="str">
        <f t="shared" si="3"/>
        <v/>
      </c>
      <c r="K32" s="1"/>
      <c r="L32" s="1"/>
      <c r="M32" s="1"/>
      <c r="N32" s="1"/>
      <c r="O32" s="1"/>
      <c r="P32" s="1"/>
      <c r="Q32" s="132"/>
      <c r="R32" s="13"/>
      <c r="S32" s="1"/>
      <c r="T32" s="11"/>
      <c r="U32" s="133"/>
      <c r="V32" s="11"/>
      <c r="W32" s="132"/>
      <c r="X32" s="13"/>
      <c r="Y32" s="133"/>
      <c r="Z32" s="12"/>
      <c r="AA32" s="12"/>
      <c r="AB32" s="11"/>
      <c r="AC32" s="11"/>
      <c r="AD32" s="133"/>
      <c r="AE32" s="11"/>
      <c r="AF32" s="11"/>
      <c r="AG32" s="11"/>
    </row>
    <row r="33" spans="2:33" x14ac:dyDescent="0.3">
      <c r="B33" s="1" t="str">
        <f>IF(D33="","",COUNT($D$16:D33))</f>
        <v/>
      </c>
      <c r="C33" s="16"/>
      <c r="D33" s="15"/>
      <c r="E33" s="14"/>
      <c r="F33" s="14"/>
      <c r="G33" s="132" t="str">
        <f t="shared" si="0"/>
        <v/>
      </c>
      <c r="H33" s="1" t="str">
        <f t="shared" si="1"/>
        <v/>
      </c>
      <c r="I33" s="145" t="str">
        <f t="shared" si="3"/>
        <v/>
      </c>
      <c r="K33" s="1"/>
      <c r="L33" s="1"/>
      <c r="M33" s="1"/>
      <c r="N33" s="1"/>
      <c r="O33" s="1"/>
      <c r="P33" s="1"/>
      <c r="Q33" s="132"/>
      <c r="R33" s="13"/>
      <c r="S33" s="1"/>
      <c r="T33" s="11"/>
      <c r="U33" s="133"/>
      <c r="V33" s="11"/>
      <c r="W33" s="132"/>
      <c r="X33" s="13"/>
      <c r="Y33" s="133"/>
      <c r="Z33" s="12"/>
      <c r="AA33" s="12"/>
      <c r="AB33" s="11"/>
      <c r="AC33" s="11"/>
      <c r="AD33" s="133"/>
      <c r="AE33" s="11"/>
      <c r="AF33" s="11"/>
      <c r="AG33" s="11"/>
    </row>
    <row r="34" spans="2:33" x14ac:dyDescent="0.3">
      <c r="B34" s="1" t="str">
        <f>IF(D34="","",COUNT($D$16:D34))</f>
        <v/>
      </c>
      <c r="C34" s="16"/>
      <c r="D34" s="15"/>
      <c r="E34" s="14"/>
      <c r="F34" s="14"/>
      <c r="G34" s="132" t="str">
        <f t="shared" si="0"/>
        <v/>
      </c>
      <c r="H34" s="1" t="str">
        <f t="shared" si="1"/>
        <v/>
      </c>
      <c r="I34" s="145" t="str">
        <f t="shared" si="3"/>
        <v/>
      </c>
      <c r="K34" s="1"/>
      <c r="L34" s="1"/>
      <c r="M34" s="1"/>
      <c r="N34" s="1"/>
      <c r="O34" s="1"/>
      <c r="P34" s="1"/>
      <c r="Q34" s="132"/>
      <c r="R34" s="13"/>
      <c r="S34" s="1"/>
      <c r="T34" s="11"/>
      <c r="U34" s="133"/>
      <c r="V34" s="11"/>
      <c r="W34" s="132"/>
      <c r="X34" s="13"/>
      <c r="Y34" s="133"/>
      <c r="Z34" s="12"/>
      <c r="AA34" s="12"/>
      <c r="AB34" s="11"/>
      <c r="AC34" s="11"/>
      <c r="AD34" s="133"/>
      <c r="AE34" s="11"/>
      <c r="AF34" s="11"/>
      <c r="AG34" s="11"/>
    </row>
    <row r="35" spans="2:33" x14ac:dyDescent="0.3">
      <c r="B35" s="1" t="str">
        <f>IF(D35="","",COUNT($D$16:D35))</f>
        <v/>
      </c>
      <c r="C35" s="16"/>
      <c r="D35" s="15"/>
      <c r="E35" s="14"/>
      <c r="F35" s="14"/>
      <c r="G35" s="132" t="str">
        <f t="shared" si="0"/>
        <v/>
      </c>
      <c r="H35" s="1" t="str">
        <f t="shared" si="1"/>
        <v/>
      </c>
      <c r="I35" s="145" t="str">
        <f t="shared" si="3"/>
        <v/>
      </c>
      <c r="K35" s="1"/>
      <c r="L35" s="1"/>
      <c r="M35" s="1"/>
      <c r="N35" s="1"/>
      <c r="O35" s="1"/>
      <c r="P35" s="1"/>
      <c r="Q35" s="132"/>
      <c r="R35" s="13"/>
      <c r="S35" s="1"/>
      <c r="T35" s="11"/>
      <c r="U35" s="133"/>
      <c r="V35" s="11"/>
      <c r="W35" s="132"/>
      <c r="X35" s="13"/>
      <c r="Y35" s="133"/>
      <c r="Z35" s="12"/>
      <c r="AA35" s="12"/>
      <c r="AB35" s="11"/>
      <c r="AC35" s="11"/>
      <c r="AD35" s="133"/>
      <c r="AE35" s="11"/>
      <c r="AF35" s="11"/>
      <c r="AG35" s="11"/>
    </row>
    <row r="36" spans="2:33" x14ac:dyDescent="0.3">
      <c r="B36" s="1" t="str">
        <f>IF(D36="","",COUNT($D$16:D36))</f>
        <v/>
      </c>
      <c r="C36" s="16"/>
      <c r="D36" s="15"/>
      <c r="E36" s="14"/>
      <c r="F36" s="14"/>
      <c r="G36" s="132" t="str">
        <f t="shared" si="0"/>
        <v/>
      </c>
      <c r="H36" s="1" t="str">
        <f t="shared" si="1"/>
        <v/>
      </c>
      <c r="I36" s="145" t="str">
        <f t="shared" si="3"/>
        <v/>
      </c>
      <c r="K36" s="1"/>
      <c r="L36" s="1"/>
      <c r="M36" s="1"/>
      <c r="N36" s="1"/>
      <c r="O36" s="1"/>
      <c r="P36" s="1"/>
      <c r="Q36" s="132"/>
      <c r="R36" s="13"/>
      <c r="S36" s="1"/>
      <c r="T36" s="11"/>
      <c r="U36" s="133"/>
      <c r="V36" s="11"/>
      <c r="W36" s="132"/>
      <c r="X36" s="13"/>
      <c r="Y36" s="133"/>
      <c r="Z36" s="12"/>
      <c r="AA36" s="12"/>
      <c r="AB36" s="11"/>
      <c r="AC36" s="11"/>
      <c r="AD36" s="133"/>
      <c r="AE36" s="11"/>
      <c r="AF36" s="11"/>
      <c r="AG36" s="11"/>
    </row>
    <row r="37" spans="2:33" x14ac:dyDescent="0.3">
      <c r="B37" s="1" t="str">
        <f>IF(D37="","",COUNT($D$16:D37))</f>
        <v/>
      </c>
      <c r="C37" s="16"/>
      <c r="D37" s="15"/>
      <c r="E37" s="14"/>
      <c r="F37" s="14"/>
      <c r="G37" s="132" t="str">
        <f t="shared" si="0"/>
        <v/>
      </c>
      <c r="H37" s="1" t="str">
        <f t="shared" si="1"/>
        <v/>
      </c>
      <c r="I37" s="145" t="str">
        <f t="shared" si="3"/>
        <v/>
      </c>
      <c r="K37" s="1"/>
      <c r="L37" s="1"/>
      <c r="M37" s="1"/>
      <c r="N37" s="1"/>
      <c r="O37" s="1"/>
      <c r="P37" s="1"/>
      <c r="Q37" s="132"/>
      <c r="R37" s="13"/>
      <c r="S37" s="1"/>
      <c r="T37" s="11"/>
      <c r="U37" s="133"/>
      <c r="V37" s="11"/>
      <c r="W37" s="132"/>
      <c r="X37" s="13"/>
      <c r="Y37" s="133"/>
      <c r="Z37" s="12"/>
      <c r="AA37" s="12"/>
      <c r="AB37" s="11"/>
      <c r="AC37" s="11"/>
      <c r="AD37" s="133"/>
      <c r="AE37" s="11"/>
      <c r="AF37" s="11"/>
      <c r="AG37" s="11"/>
    </row>
    <row r="38" spans="2:33" x14ac:dyDescent="0.3">
      <c r="B38" s="1" t="str">
        <f>IF(D38="","",COUNT($D$16:D38))</f>
        <v/>
      </c>
      <c r="C38" s="16"/>
      <c r="D38" s="15"/>
      <c r="E38" s="14"/>
      <c r="F38" s="14"/>
      <c r="G38" s="132" t="str">
        <f t="shared" si="0"/>
        <v/>
      </c>
      <c r="H38" s="1" t="str">
        <f t="shared" si="1"/>
        <v/>
      </c>
      <c r="I38" s="145" t="str">
        <f t="shared" si="3"/>
        <v/>
      </c>
      <c r="K38" s="1"/>
      <c r="L38" s="1"/>
      <c r="M38" s="1"/>
      <c r="N38" s="1"/>
      <c r="O38" s="1"/>
      <c r="P38" s="1"/>
      <c r="Q38" s="132"/>
      <c r="R38" s="13"/>
      <c r="S38" s="1"/>
      <c r="T38" s="11"/>
      <c r="U38" s="133"/>
      <c r="V38" s="11"/>
      <c r="W38" s="132"/>
      <c r="X38" s="13"/>
      <c r="Y38" s="133"/>
      <c r="Z38" s="12"/>
      <c r="AA38" s="12"/>
      <c r="AB38" s="11"/>
      <c r="AC38" s="11"/>
      <c r="AD38" s="133"/>
      <c r="AE38" s="11"/>
      <c r="AF38" s="11"/>
      <c r="AG38" s="11"/>
    </row>
    <row r="39" spans="2:33" x14ac:dyDescent="0.3">
      <c r="B39" s="1" t="str">
        <f>IF(D39="","",COUNT($D$16:D39))</f>
        <v/>
      </c>
      <c r="C39" s="16"/>
      <c r="D39" s="15"/>
      <c r="E39" s="14"/>
      <c r="F39" s="14"/>
      <c r="G39" s="132" t="str">
        <f t="shared" si="0"/>
        <v/>
      </c>
      <c r="H39" s="1" t="str">
        <f t="shared" si="1"/>
        <v/>
      </c>
      <c r="I39" s="145" t="str">
        <f t="shared" si="3"/>
        <v/>
      </c>
      <c r="K39" s="1"/>
      <c r="L39" s="1"/>
      <c r="M39" s="1"/>
      <c r="N39" s="1"/>
      <c r="O39" s="1"/>
      <c r="P39" s="1"/>
      <c r="Q39" s="132"/>
      <c r="R39" s="13"/>
      <c r="S39" s="1"/>
      <c r="T39" s="11"/>
      <c r="U39" s="133"/>
      <c r="V39" s="11"/>
      <c r="W39" s="132"/>
      <c r="X39" s="13"/>
      <c r="Y39" s="133"/>
      <c r="Z39" s="12"/>
      <c r="AA39" s="12"/>
      <c r="AB39" s="11"/>
      <c r="AC39" s="11"/>
      <c r="AD39" s="133"/>
      <c r="AE39" s="11"/>
      <c r="AF39" s="11"/>
      <c r="AG39" s="11"/>
    </row>
    <row r="40" spans="2:33" x14ac:dyDescent="0.3">
      <c r="B40" s="1" t="str">
        <f>IF(D40="","",COUNT($D$16:D40))</f>
        <v/>
      </c>
      <c r="C40" s="16"/>
      <c r="D40" s="15"/>
      <c r="E40" s="14"/>
      <c r="F40" s="14"/>
      <c r="G40" s="132" t="str">
        <f t="shared" si="0"/>
        <v/>
      </c>
      <c r="H40" s="1" t="str">
        <f t="shared" si="1"/>
        <v/>
      </c>
      <c r="I40" s="145" t="str">
        <f t="shared" si="3"/>
        <v/>
      </c>
      <c r="K40" s="1"/>
      <c r="L40" s="1"/>
      <c r="M40" s="1"/>
      <c r="N40" s="1"/>
      <c r="O40" s="1"/>
      <c r="P40" s="1"/>
      <c r="Q40" s="132"/>
      <c r="R40" s="13"/>
      <c r="S40" s="1"/>
      <c r="T40" s="11"/>
      <c r="U40" s="133"/>
      <c r="V40" s="11"/>
      <c r="W40" s="132"/>
      <c r="X40" s="13"/>
      <c r="Y40" s="133"/>
      <c r="Z40" s="12"/>
      <c r="AA40" s="12"/>
      <c r="AB40" s="11"/>
      <c r="AC40" s="11"/>
      <c r="AD40" s="133"/>
      <c r="AE40" s="11"/>
      <c r="AF40" s="11"/>
      <c r="AG40" s="11"/>
    </row>
    <row r="41" spans="2:33" x14ac:dyDescent="0.3">
      <c r="B41" s="1" t="str">
        <f>IF(D41="","",COUNT($D$16:D41))</f>
        <v/>
      </c>
      <c r="C41" s="16"/>
      <c r="D41" s="15"/>
      <c r="E41" s="14"/>
      <c r="F41" s="14"/>
      <c r="G41" s="132" t="str">
        <f t="shared" si="0"/>
        <v/>
      </c>
      <c r="H41" s="1" t="str">
        <f t="shared" si="1"/>
        <v/>
      </c>
      <c r="I41" s="145" t="str">
        <f t="shared" si="3"/>
        <v/>
      </c>
      <c r="K41" s="1"/>
      <c r="L41" s="1"/>
      <c r="M41" s="1"/>
      <c r="N41" s="1"/>
      <c r="O41" s="1"/>
      <c r="P41" s="1"/>
      <c r="Q41" s="132"/>
      <c r="R41" s="13"/>
      <c r="S41" s="1"/>
      <c r="T41" s="11"/>
      <c r="U41" s="133"/>
      <c r="V41" s="11"/>
      <c r="W41" s="132"/>
      <c r="X41" s="13"/>
      <c r="Y41" s="133"/>
      <c r="Z41" s="12"/>
      <c r="AA41" s="12"/>
      <c r="AB41" s="11"/>
      <c r="AC41" s="11"/>
      <c r="AD41" s="133"/>
      <c r="AE41" s="11"/>
      <c r="AF41" s="11"/>
      <c r="AG41" s="11"/>
    </row>
    <row r="42" spans="2:33" x14ac:dyDescent="0.3">
      <c r="B42" s="1" t="str">
        <f>IF(D42="","",COUNT($D$16:D42))</f>
        <v/>
      </c>
      <c r="C42" s="16"/>
      <c r="D42" s="15"/>
      <c r="E42" s="14"/>
      <c r="F42" s="14"/>
      <c r="G42" s="132" t="str">
        <f t="shared" si="0"/>
        <v/>
      </c>
      <c r="H42" s="1" t="str">
        <f t="shared" si="1"/>
        <v/>
      </c>
      <c r="I42" s="145" t="str">
        <f t="shared" si="3"/>
        <v/>
      </c>
      <c r="K42" s="1"/>
      <c r="L42" s="1"/>
      <c r="M42" s="1"/>
      <c r="N42" s="1"/>
      <c r="O42" s="1"/>
      <c r="P42" s="1"/>
      <c r="Q42" s="132"/>
      <c r="R42" s="13"/>
      <c r="S42" s="1"/>
      <c r="T42" s="11"/>
      <c r="U42" s="133"/>
      <c r="V42" s="11"/>
      <c r="W42" s="132"/>
      <c r="X42" s="13"/>
      <c r="Y42" s="133"/>
      <c r="Z42" s="12"/>
      <c r="AA42" s="12"/>
      <c r="AB42" s="11"/>
      <c r="AC42" s="11"/>
      <c r="AD42" s="133"/>
      <c r="AE42" s="11"/>
      <c r="AF42" s="11"/>
      <c r="AG42" s="11"/>
    </row>
    <row r="43" spans="2:33" x14ac:dyDescent="0.3">
      <c r="B43" s="1" t="str">
        <f>IF(D43="","",COUNT($D$16:D43))</f>
        <v/>
      </c>
      <c r="C43" s="16"/>
      <c r="D43" s="15"/>
      <c r="E43" s="14"/>
      <c r="F43" s="14"/>
      <c r="G43" s="132" t="str">
        <f t="shared" si="0"/>
        <v/>
      </c>
      <c r="H43" s="1" t="str">
        <f t="shared" si="1"/>
        <v/>
      </c>
      <c r="I43" s="145" t="str">
        <f t="shared" si="3"/>
        <v/>
      </c>
      <c r="K43" s="1"/>
      <c r="L43" s="1"/>
      <c r="M43" s="1"/>
      <c r="N43" s="1"/>
      <c r="O43" s="1"/>
      <c r="P43" s="1"/>
      <c r="Q43" s="132"/>
      <c r="R43" s="13"/>
      <c r="S43" s="1"/>
      <c r="T43" s="11"/>
      <c r="U43" s="133"/>
      <c r="V43" s="11"/>
      <c r="W43" s="132"/>
      <c r="X43" s="13"/>
      <c r="Y43" s="133"/>
      <c r="Z43" s="12"/>
      <c r="AA43" s="12"/>
      <c r="AB43" s="11"/>
      <c r="AC43" s="11"/>
      <c r="AD43" s="133"/>
      <c r="AE43" s="11"/>
      <c r="AF43" s="11"/>
      <c r="AG43" s="11"/>
    </row>
    <row r="44" spans="2:33" x14ac:dyDescent="0.3">
      <c r="B44" s="1" t="str">
        <f>IF(D44="","",COUNT($D$16:D44))</f>
        <v/>
      </c>
      <c r="C44" s="16"/>
      <c r="D44" s="15"/>
      <c r="E44" s="14"/>
      <c r="F44" s="14"/>
      <c r="G44" s="132" t="str">
        <f t="shared" si="0"/>
        <v/>
      </c>
      <c r="H44" s="1" t="str">
        <f t="shared" si="1"/>
        <v/>
      </c>
      <c r="I44" s="145" t="str">
        <f t="shared" si="3"/>
        <v/>
      </c>
      <c r="K44" s="1"/>
      <c r="L44" s="1"/>
      <c r="M44" s="1"/>
      <c r="N44" s="1"/>
      <c r="O44" s="1"/>
      <c r="P44" s="1"/>
      <c r="Q44" s="132"/>
      <c r="R44" s="13"/>
      <c r="S44" s="1"/>
      <c r="T44" s="11"/>
      <c r="U44" s="133"/>
      <c r="V44" s="11"/>
      <c r="W44" s="132"/>
      <c r="X44" s="13"/>
      <c r="Y44" s="133"/>
      <c r="Z44" s="12"/>
      <c r="AA44" s="12"/>
      <c r="AB44" s="11"/>
      <c r="AC44" s="11"/>
      <c r="AD44" s="133"/>
      <c r="AE44" s="11"/>
      <c r="AF44" s="11"/>
      <c r="AG44" s="11"/>
    </row>
    <row r="45" spans="2:33" x14ac:dyDescent="0.3">
      <c r="B45" s="1" t="str">
        <f>IF(D45="","",COUNT($D$16:D45))</f>
        <v/>
      </c>
      <c r="C45" s="16"/>
      <c r="D45" s="15"/>
      <c r="E45" s="14"/>
      <c r="F45" s="14"/>
      <c r="G45" s="132" t="str">
        <f t="shared" si="0"/>
        <v/>
      </c>
      <c r="H45" s="1" t="str">
        <f t="shared" si="1"/>
        <v/>
      </c>
      <c r="I45" s="145" t="str">
        <f t="shared" si="3"/>
        <v/>
      </c>
      <c r="K45" s="1"/>
      <c r="L45" s="1"/>
      <c r="M45" s="1"/>
      <c r="N45" s="1"/>
      <c r="O45" s="1"/>
      <c r="P45" s="1"/>
      <c r="Q45" s="132"/>
      <c r="R45" s="13"/>
      <c r="S45" s="1"/>
      <c r="T45" s="11"/>
      <c r="U45" s="133"/>
      <c r="V45" s="11"/>
      <c r="W45" s="132"/>
      <c r="X45" s="13"/>
      <c r="Y45" s="133"/>
      <c r="Z45" s="12"/>
      <c r="AA45" s="12"/>
      <c r="AB45" s="11"/>
      <c r="AC45" s="11"/>
      <c r="AD45" s="133"/>
      <c r="AE45" s="11"/>
      <c r="AF45" s="11"/>
      <c r="AG45" s="11"/>
    </row>
    <row r="46" spans="2:33" x14ac:dyDescent="0.3">
      <c r="B46" s="1" t="str">
        <f>IF(D46="","",COUNT($D$16:D46))</f>
        <v/>
      </c>
      <c r="C46" s="16"/>
      <c r="D46" s="15"/>
      <c r="E46" s="14"/>
      <c r="F46" s="14"/>
      <c r="G46" s="132" t="str">
        <f t="shared" si="0"/>
        <v/>
      </c>
      <c r="H46" s="1" t="str">
        <f t="shared" si="1"/>
        <v/>
      </c>
      <c r="I46" s="145" t="str">
        <f t="shared" si="3"/>
        <v/>
      </c>
      <c r="K46" s="1"/>
      <c r="L46" s="1"/>
      <c r="M46" s="1"/>
      <c r="N46" s="1"/>
      <c r="O46" s="1"/>
      <c r="P46" s="1"/>
      <c r="Q46" s="132"/>
      <c r="R46" s="13"/>
      <c r="S46" s="1"/>
      <c r="T46" s="11"/>
      <c r="U46" s="133"/>
      <c r="V46" s="11"/>
      <c r="W46" s="132"/>
      <c r="X46" s="13"/>
      <c r="Y46" s="133"/>
      <c r="Z46" s="12"/>
      <c r="AA46" s="12"/>
      <c r="AB46" s="11"/>
      <c r="AC46" s="11"/>
      <c r="AD46" s="133"/>
      <c r="AE46" s="11"/>
      <c r="AF46" s="11"/>
      <c r="AG46" s="11"/>
    </row>
    <row r="47" spans="2:33" x14ac:dyDescent="0.3">
      <c r="B47" s="1" t="str">
        <f>IF(D47="","",COUNT($D$16:D47))</f>
        <v/>
      </c>
      <c r="C47" s="16"/>
      <c r="D47" s="15"/>
      <c r="E47" s="14"/>
      <c r="F47" s="14"/>
      <c r="G47" s="132" t="str">
        <f t="shared" si="0"/>
        <v/>
      </c>
      <c r="H47" s="1" t="str">
        <f t="shared" si="1"/>
        <v/>
      </c>
      <c r="I47" s="145" t="str">
        <f t="shared" si="3"/>
        <v/>
      </c>
      <c r="K47" s="1"/>
      <c r="L47" s="1"/>
      <c r="M47" s="1"/>
      <c r="N47" s="1"/>
      <c r="O47" s="1"/>
      <c r="P47" s="1"/>
      <c r="Q47" s="132"/>
      <c r="R47" s="13"/>
      <c r="S47" s="1"/>
      <c r="T47" s="11"/>
      <c r="U47" s="133"/>
      <c r="V47" s="11"/>
      <c r="W47" s="132"/>
      <c r="X47" s="13"/>
      <c r="Y47" s="133"/>
      <c r="Z47" s="12"/>
      <c r="AA47" s="12"/>
      <c r="AB47" s="11"/>
      <c r="AC47" s="11"/>
      <c r="AD47" s="133"/>
      <c r="AE47" s="11"/>
      <c r="AF47" s="11"/>
      <c r="AG47" s="11"/>
    </row>
    <row r="48" spans="2:33" ht="15" thickBot="1" x14ac:dyDescent="0.35">
      <c r="B48" s="1" t="str">
        <f>IF(D48="","",COUNT($D$16:D48))</f>
        <v/>
      </c>
      <c r="C48" s="9"/>
      <c r="D48" s="8"/>
      <c r="E48" s="7"/>
      <c r="F48" s="7"/>
      <c r="G48" s="5" t="str">
        <f t="shared" si="0"/>
        <v/>
      </c>
      <c r="H48" s="6" t="str">
        <f t="shared" si="1"/>
        <v/>
      </c>
      <c r="I48" s="146" t="str">
        <f t="shared" si="3"/>
        <v/>
      </c>
      <c r="K48" s="1"/>
      <c r="L48" s="1"/>
      <c r="M48" s="1"/>
      <c r="N48" s="1"/>
      <c r="O48" s="1"/>
      <c r="P48" s="1"/>
      <c r="Q48" s="132"/>
      <c r="R48" s="13"/>
      <c r="S48" s="1"/>
      <c r="T48" s="11"/>
      <c r="U48" s="133"/>
      <c r="V48" s="11"/>
      <c r="W48" s="132"/>
      <c r="X48" s="13"/>
      <c r="Y48" s="133"/>
      <c r="Z48" s="12"/>
      <c r="AA48" s="12"/>
      <c r="AB48" s="11"/>
      <c r="AC48" s="11"/>
      <c r="AD48" s="133"/>
      <c r="AE48" s="11"/>
      <c r="AF48" s="11"/>
      <c r="AG48" s="11"/>
    </row>
    <row r="49" spans="11:12" x14ac:dyDescent="0.3">
      <c r="K49" s="1"/>
      <c r="L49" s="1"/>
    </row>
    <row r="50" spans="11:12" x14ac:dyDescent="0.3">
      <c r="K50" s="1"/>
      <c r="L50" s="1"/>
    </row>
  </sheetData>
  <mergeCells count="3">
    <mergeCell ref="C13:H13"/>
    <mergeCell ref="K13:T13"/>
    <mergeCell ref="V13:AG13"/>
  </mergeCells>
  <conditionalFormatting sqref="H1:I9 S1:S12 F8 I10 H11:I1048576">
    <cfRule type="containsText" dxfId="1" priority="2" operator="containsText" text="No">
      <formula>NOT(ISERROR(SEARCH("No",F1)))</formula>
    </cfRule>
  </conditionalFormatting>
  <conditionalFormatting sqref="S14:S1048576">
    <cfRule type="containsText" dxfId="0" priority="1" operator="containsText" text="No">
      <formula>NOT(ISERROR(SEARCH("No",S14)))</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FIV Calcs Liquid</vt:lpstr>
      <vt:lpstr>FIV Calcs Gases</vt:lpstr>
      <vt:lpstr>FIP Calcs</vt:lpstr>
      <vt:lpstr>AIV Calcs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Clark</dc:creator>
  <cp:lastModifiedBy>Matthew L Ashmore</cp:lastModifiedBy>
  <dcterms:created xsi:type="dcterms:W3CDTF">2021-04-02T19:30:51Z</dcterms:created>
  <dcterms:modified xsi:type="dcterms:W3CDTF">2024-10-24T15:01:11Z</dcterms:modified>
</cp:coreProperties>
</file>